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878C4395-A6BA-4A53-98B6-AA8F1A7688C1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H11" i="2"/>
  <c r="I11" i="2" s="1"/>
  <c r="H12" i="2"/>
  <c r="I12" i="2" s="1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2" i="2"/>
  <c r="I18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I15" i="2"/>
  <c r="I10" i="2"/>
  <c r="I9" i="2"/>
  <c r="I8" i="2"/>
  <c r="I7" i="2"/>
  <c r="I4" i="2"/>
  <c r="I3" i="2"/>
  <c r="I2" i="2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DBD3EA6C-7045-4904-862A-7BD4497E41D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560FD373-6C10-4F72-9E11-4AEC02B64BE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DFBC9107-6181-4AA0-AB3F-E1908515C22E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CF4191A5-D93C-4502-8879-8899DC42C40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9793F502-1DD4-4395-B56E-6704A670219B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81477235-9195-4A82-AD10-155694BD88A8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6CC20F41-2D6B-43AE-BF8F-888F5E518458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04684CAD-1290-4554-A402-DF3180434A3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CA08F061-F241-459C-B8C8-B064001715D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54245069-7B7A-4110-8CCC-38A7D01DD21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083D3240-D1F8-4738-A68E-8C009E682C1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47A9F59B-7E92-4340-8C9A-E2A64FD2671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8B71360E-5000-4246-AC39-022AC39EE7C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E3A3E4D7-3489-4C5B-97E5-F5A8367507C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6F06009D-FA3F-4197-B1A0-9B3CC033C48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7966AF00-C2A5-45D2-AFEA-EE98BD58236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1B80A7A6-38F0-4D68-BE1E-62BF5336A08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8FCCE9CA-76EC-4943-8C42-DCE840BA22A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8953E1CB-F1B4-4B06-8CF4-319EC15580B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43ECAFA4-895D-4623-BC0C-724C10B7356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B93D15E3-B900-41E9-A6C6-B75E488D732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85183B2C-37BE-4EA6-950F-7243146BEB9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BBE78886-D162-4E12-AF3A-82B6C8511D91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42830E29-0E18-43FA-ADF7-354392E30039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E5BE8EAE-B43D-46C1-9389-237C6F6B9DBA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97D7BB2C-D98C-4D74-925E-2601BDC969AA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1825FD9D-285A-414C-BFBE-ABCFB498A822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A2233142-6A57-4B8C-B084-117B700D1388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269DAC2C-0430-4EFF-8E9E-EC3259842C4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BF772C2D-7774-44EB-8D3D-7915A8FBCBD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0BAF1B8D-120A-4AFA-9AB3-B5A2C4A5A25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20BA0640-BCEF-4CBC-9871-B44D697474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03A3E40D-8B9E-441F-B829-2E004E7190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86857ED1-E49D-42F1-8FA8-8EE1EB30C55C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89C4AD4F-9FA5-452E-8D64-DEE9CD41BDB2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F1620938-B45F-4951-9786-060CC010A8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788302DC-E3D5-47D2-9D96-93AAFFDB02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1AF91899-8ECB-4D92-9159-DCC07F1894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B0EBEAB8-A996-45E9-96C4-5309620564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6F2BA7DF-25A5-4AB6-8FA1-D237B8FF4E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C55FFA15-9C03-41AB-954B-61838936E3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D817E163-480A-4A5E-A8E3-81DCC7A70D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08811745-3D32-4F03-82D1-F8A31FCC63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DF046649-2833-43AB-B1C0-1149D87214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BB122EAC-7C72-41E9-AAC9-E344D31C63F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A9DB4AF1-AC0B-4739-94CB-2899FA9BAD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248CFEDB-975C-4A24-862A-83EEA0668B3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D5B4D82B-518B-42A5-93C7-F14B120CB2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7936BD94-1755-4EFD-B658-957D177CBB9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540CA6C1-CB4F-4311-8F6A-873A4A351ED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147E1F55-81B0-4CB6-9112-CFB6302468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15232229-8DE8-406F-AC50-4383611CFD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1D0D7DB7-561D-4471-807B-B614A46C49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59C56693-08CF-49C5-A224-B32CE7CB4D9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7CE06F7E-866D-42F8-8C3F-4111BD3ADB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ED3C0EA6-7BA4-4369-857C-3799E7BE4B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CB729732-AAA1-444B-9B0F-0CEEDFE525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E79AC90C-57BE-4C6A-95BB-4AE5C42B8F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D07D91BC-5277-4C87-BDC2-33AFF1C179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EEF8BF4D-3FCE-4518-9162-ED0C9841AC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F93A5A98-1B53-4C24-9CCE-F627BF545D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D7F9FD33-73A6-4126-8B88-139445C994E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5FD05306-C223-4D1F-B4CE-9CC74899FE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05C67DE7-F0A5-4DDB-AA52-B25E913182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678CA325-79C4-449C-99AF-5CA1C763B1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03B34DCA-52DC-4CD0-AC90-E5DE24D775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4460FD9C-AB26-4C52-80FD-ACEBFC23D3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BD86A323-5654-4670-A924-1F0CD26C4A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7E706C88-BAC4-4517-AAA2-84D7E64AAA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BBEB1BE9-020A-41DB-931E-D0FE280136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E63A785A-7CCB-4BC9-B8ED-97F5891D76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9B007370-381E-4C2F-BE79-D6EB6B6A0C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732F08B9-7BAD-4EF5-9859-B2F0AB39FC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8B46EDCC-CB39-4BEB-AB22-92D9531174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64D503EF-378A-47C2-A309-B646FD4104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A797D934-E36F-4164-B325-812A410683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D7B9A00F-5598-444A-A99F-46BECBA8B8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C737958F-5554-4113-9546-66C26316AE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E78A19C3-A1DF-45FC-95FA-285068F3EC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DB6887A6-964C-47A1-A4EE-97C66F7B9B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43505941-54BC-45FF-A0F0-26D386E59F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84F2F8E8-85D7-49CE-B576-03142EE56B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8FE960B9-768B-426B-B190-3A030C83DD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CC4F983E-7835-4953-B248-4B837441F7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2BC7B721-175F-43FA-85C9-5CB74A7AB5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CDAA0986-B864-4BFA-8671-63561E0089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14363E6C-02DE-49C4-BD90-0AB03E1E33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05EF81D6-7B71-4D7D-916B-D73864D61A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CC46CE66-55DA-4470-8378-8F337758107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4042B8C8-CB9B-4FE0-8EF5-FC9A3BABFCE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28B02E13-B107-4B5D-8EDD-FC3805095D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24F1E9BE-4F20-478F-958E-21064D69DD4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0E968A58-1557-42BB-8C92-720D9737B76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D13F6025-317F-413E-9208-CCFCFF3480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C07B56E3-0F8B-4755-8969-5E91ED17A8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843D058D-9788-4F7C-BF9C-9B86B269D4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D9F77D24-E233-4A2B-8F84-D58929F4CC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6246472F-EF4F-436D-87B3-F3E82EF38C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F25D82F4-A3DE-438E-8229-3D20AF2DF5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D3B7BC60-5FEC-4D7A-ABFA-6C3BE18348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FB7FE9D4-C131-4F54-8E85-6C748D1E4A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900B7116-3A18-4A75-87D8-740A1795D6E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368B0A72-2190-4BE9-868D-C8557A797D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94FE68AA-5C1F-4010-81D4-8D4ED9CC9F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DEBB7CB8-574F-44FE-B2E6-BC19FE0EF3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A859586A-260E-4D6F-9687-980C39BF06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3D975C57-4801-4E80-8B78-6690FDFB24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8DFE9F64-4EE9-4304-8318-FF751D957A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0FB5956F-6D2A-4512-B99F-B7668701D48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E942C28B-82CE-40FA-A275-AED5B93F33D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117E4680-870A-494E-8D6E-BFAC9B7BC9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DA73BD42-0031-4D79-AEE4-FF77CF7964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9E61DA7D-692D-4BC4-AFA1-97FC5E44787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B31916A1-633C-4556-AA69-F3D071B3BFD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E4A8C5E0-F044-42E0-9A3E-28BBF0B12C5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5BDECE75-D1A9-419E-9A09-F8399E8FDDD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87264526-E0EB-4EAC-B41B-EB4AC9DB327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E0616A86-9594-4FD2-BA2F-A734304366E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430726E8-3BBC-47B6-89CC-657A098DB39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00F2627A-499D-47B1-8F08-A6958744034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4E982854-1049-4980-838C-C916FCC0A2A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3BB413EB-4DCF-4529-B793-7F888F128F8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32867538-7A36-4C50-8562-231C371C834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1A66D8B0-792A-4914-B3AD-46FE2F25FC5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003B5A75-C070-4801-B3EB-D854495241F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CF1CDF37-C121-4007-9674-C070672C544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29A08B5C-F7B1-4BC6-B069-62CA68CA5A1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630DAB55-AEAE-4B0F-A57A-7B5EA4F8571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BFDC5C40-1A2C-4B27-B8C0-082F4838FE5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29291669-6472-4520-ACAB-E8971D75F25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8D0F8178-B7C7-4B4D-99F1-57B966732E3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113BCCBC-EC9A-4D56-AEC0-17460E84716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2D17E62E-FDDB-4398-9103-B6C30E53F30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C4F5E106-95AA-44E1-A086-D22E376E9E8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6E788FAD-E902-4C48-9872-6EA45203C3E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23976070-EF7A-4FE4-B0E2-31BE9FD3514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A6DB12B2-9D89-4052-A3A9-6709AF836CA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D372F024-6ADA-4163-A22D-D99490872D6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98A59FF2-165E-4889-84AE-12C3255946C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06D903B1-5835-4728-8F19-52C4348A70A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4AC05516-BBC2-4F13-B0A0-44650304B3C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33CA50D0-31BD-42CC-846F-5692AF66132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01179FAF-A971-42E1-B9A7-DE2CA94E25D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A2916081-8170-42DE-80C9-0B0D18BDBFA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17C9AE6F-35E3-4203-A914-DF925EFC84F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FD64275E-B65E-4FE3-B05E-8E32161F393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507DE04A-9FF8-4BA7-B996-5A90922637B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795BF127-5F2C-4217-A68B-750AEA7ADF0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37A4D37D-D5AF-4F70-8E93-09E63E723D5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2A426321-5201-48C5-BABE-0480BE0808A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B08E202C-A13F-4C87-88E0-62C5BC234AB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DABDE3BA-2AF2-41B8-A996-8DF29EE1F92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43481F89-5140-414E-97F8-D15C00F128D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A33FD5DE-233E-4336-A950-ABECAB044B3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CFC020BA-017E-4409-A2F4-8ED008AB81D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7279906F-2DB3-4F5A-BF77-9A099C451E3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789687D4-2EE5-4573-B19A-164D059A8CE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16786514-4ACE-4C31-8046-7187BA65DA5A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47814B35-177A-4264-ADD7-87226192BC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1555EFD2-C93D-431E-8FE4-713C63694AE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20F505B0-7104-4EF6-A3B2-3A0608D162C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23DC721F-8CC8-4E8C-B065-DAF0503056D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71CC0676-5AFF-4A72-9AEE-0FD218872FB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BEFB36CD-AF17-4FA1-8E3A-4D933B9ECA6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AC849206-44C9-4962-8A46-5186D76E757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C6C4A48D-FD23-4331-B38D-6F1DE8E9828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2728CE1A-8683-49DB-AB89-7D9662F2A1B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7BF1D7E9-3F03-47AE-A5C0-B8177637FF2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88FC49A2-DF13-4BEC-9118-E259F668502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70E5F01F-041B-4ACF-939E-5A28532E329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C130C7C9-019A-4739-81D7-0CB797CB173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9C8C295E-D3FC-4DD1-B760-8CFE563E6D1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FA9A2282-BB4C-4BCF-BC60-B91B1F86CC5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EFBEB43A-E6F2-4CE0-ACF7-F681C106B28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0B59B4AC-BF49-4FF9-93BC-C55366B4A88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9D00AB74-978E-4DB8-9E61-C539ED54635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50E446E6-BED9-4129-B0E3-B54783C4191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D80AD225-70B1-4F10-B5D8-FE80FBEFD35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5D581E04-0329-4EAF-828A-BCE58DDC6E8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0887DA4C-B9A4-457E-85C9-DA03333D42A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869F0A8E-3D5F-448F-9120-D40693219EB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9B93FF8D-A44A-401B-89D7-100EE0F64B9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E96DB1D9-C247-433A-84A8-807F1576C68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44BBAA9B-32B4-45B9-902A-4EF909326CA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7E4BB0FE-8E34-4D39-81BF-34C42C7F341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7C460782-CDC9-4B86-9D4F-53CED7B24E4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E770CDEB-19FF-4E53-B8D6-C4C12B2C78E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D33AC9E9-6466-4F91-BB7E-50FF1408BB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BA619D25-D919-4FA2-AA8D-0A167BE794F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E83C9F5E-7FB3-445C-9CB5-41BC1100610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50568D61-F2A7-4D20-BAE3-DB8BDAC8502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CBFDBA5E-B68A-4734-8C0C-0E561E6E034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D1764366-447D-4E08-90C5-0B8EA0A4FFF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1B52E50C-4EBE-42B5-A693-C7E36B1AC1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0D0A90C4-CCD8-4172-B65E-F9048BD022A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A4FB3958-12D7-4E3B-A124-05467DB68F2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6AAB8F50-AEE0-442D-BE9C-53F80729025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3C21B5F2-438F-432C-AC95-CB2C856CC00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2EB43BE7-7136-4BC8-BBDF-A6791FD132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A65644C3-690B-4FF6-BD84-AB433FB5F10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CD611A51-7D1D-4D8D-8C7F-57FEF245995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CB29870B-26D3-4736-B06F-02C2092ED0A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D645A964-94E7-4D2A-ADE7-0916CAC1C04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F73F2E37-CC1A-454D-861B-B9DB3A185F2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3FCE6983-9EE6-49B6-9620-2D999458D01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3E0476A6-5171-42DE-BA33-5C4A9700BC1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5558B113-E41A-4FA6-860E-08DF3F8305B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086A2C58-156A-47DE-9F36-8CB54BC6BE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5BBD736B-93D6-4A01-BED2-85DED6220B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E4A00C1B-D683-49F5-B909-BD459F454B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6F9CEBE0-D4DF-4463-964C-397D4EAEDA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ADB16413-83F1-4603-8D64-491957ECAAA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E9D58CF8-6751-4AB3-82F2-91E4B5CFD11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77821DD6-940E-4168-8793-786F7C1458C9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EBAF6EE9-824A-4D43-8485-3674C0089ACE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6BF8B583-06B3-4B09-80E8-78AA20C56D8B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991567E3-93EC-46D6-ADB3-D4065719C1E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AD804276-04B4-475E-A00A-738E5C10E164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256689DD-3E4F-4924-9C56-567088495059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2C8E1E6A-617D-450C-B57B-F63391C11F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A025FF18-20DD-4357-AA73-A87C45913C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6FBD80A5-C5F1-4210-9FEC-90A67B472A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B4A49C30-9159-4DE6-AAD9-066760D502B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8960BD13-AB43-4EF2-B95D-5A3EDCA354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2034D7F4-253C-4CA6-BA23-86C59EF22C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A239CC28-348A-4766-8A23-1AF2E006434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051E3568-6716-40EA-B33C-E16307DEEF1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6AD41A45-BB34-4D44-8C72-DCE3C50BB3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6E7AD7A3-D319-448C-93B8-85709E7F3A6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96F72E4A-2AF0-4B6B-A109-0D0099205F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F4190B02-E722-4761-BF26-A674D5579C1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E0154830-5FD0-4BC8-B598-E444D727843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DC84EEC1-3FBD-4B2D-A02C-369B05AA77A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2A24B23C-D8F4-44FC-BB17-8280DEA192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18733733-C34E-44B8-81C3-E3066BA995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B4FE0EE2-66AE-42F9-8335-1DCEA0973D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C4E9612D-F8E4-4967-8006-8B21BDFD7B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6392FA60-B783-4463-8F8C-A1DDD3517D5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E39B674D-7CFC-411A-A4A3-AAD2B851CE3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429CA982-5E3D-45E2-9B52-77E2F83F69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3C2099CE-F063-4A57-8736-C453E15692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4290AA56-9324-4EF8-ABD1-5B3AC7CA3A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AACB09F5-20F0-477C-8F43-E532B4789C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3698E4C2-88B7-439C-B33A-A8B98D07ED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7F412707-B85F-43E1-9899-C113A2DF98E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B44656F3-92E7-46A5-865D-E167060B27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7CAFC428-CE34-4990-85EE-CA35263A8B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860F3234-14EF-420B-9AB7-89C172C67E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C9D9EE6A-2B77-48ED-90ED-9E9754E7B07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B0CA59D2-A036-4706-A83E-263E68B7B0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F8C2EDB9-2CD9-464B-8791-A4ED95A181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91233DDE-1603-4FD4-984A-5A1A5009DB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E8AD1D22-379C-4019-87A5-3B686D8CC37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786FEFFA-554D-4EB4-949A-C7313B8AA9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2DB7DFF4-40D2-4F8B-BB9A-81FCD58B16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B5DD80A8-AE35-4A19-9CF6-A144CFA2A4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2C875CAA-EF2B-45B4-9852-385484F262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A8C6FEBD-AFF4-4400-B4AB-CFC0119E1F7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79C8E87A-9197-42E6-A0F2-F816E664CD1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C808A31B-C589-4663-8331-5690F15504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1D1E0863-A061-4481-BC25-A2605D5FAC3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EE4FEF53-56CA-46B0-AAAD-AB514177E38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63D22505-047D-45F8-B404-BB761D27BB3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378C63EF-D3F0-4743-ABDD-CD7909895B9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AC6307F8-5789-41FA-9F38-C2631CF8085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22A6D316-9944-461E-BAE4-7D5BB7B77DC4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7827C316-D7BA-4CB7-865D-A36A436495FE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DF6BBBFA-2F82-49E1-A5DD-2121566B941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19D6DE72-812B-4437-97A6-22C1029818E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370D3E6B-4F60-4D4B-B06E-48C9864A51D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1987D135-22D9-4D8B-B265-551D5D94D57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DF1C5102-D4D2-48D4-9174-B6DB371DC2F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6AAF2525-A939-483F-83D6-7297F501BFD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AF3CDC7D-4CB3-4E62-8973-88E095805E1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1C8791CF-3DB7-4B1E-BD9C-46B7DF640B6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BE23D4F9-1849-4640-9DB6-F93D5CEA349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0E4BBD37-26B4-4B40-AFB5-732E84E38D8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F1F33C6D-2DA7-4B63-BA9F-10E7D2D3FD0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478E5BF0-BF38-4819-B0DA-E17BEEBD3F8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7CD19E67-4659-4C38-B0D8-551FBE9EE98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8CC5FD81-ACF4-437C-BA78-C6F9E719F24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B2281FDB-8086-4F1F-8834-FAC3828BCB4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60857680-656B-474B-B807-8ADABD9B35F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9782CAE7-8E25-47CF-8B8E-66F8B0B23356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87402260-8104-45CB-B4B4-A2F889C48BE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AC4C1F31-B4CC-412E-83CC-29960FAB6F3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CA3163D6-12C2-480B-9411-E67ABD06534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35C40189-128E-4408-B211-77754690201C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CBC9C0E6-6CAA-479A-AFBD-1766D94887B9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F150CC68-CD56-439D-97B2-88DA6BF6D08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16996E97-811D-43DF-819F-5A8B218B034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673C491E-0DF4-413B-8405-4966707FDC2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47A90C04-5C15-4CDA-9F8C-84465DD419E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A49C0905-7DC9-4C0D-AE5C-A1AE0316D6A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6442DA71-6654-4681-B4BF-8C0AB7BB296C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E2C2B627-41EB-44DE-80D5-8B5791E412E6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9104BE5C-493B-464A-8CA2-6CDB18CFF9D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38F82AC3-D1EA-4974-A856-AECC79DA1464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963E3C87-AE3E-4F40-98DF-2E889933F0E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114DC549-7C46-4E96-A5D5-811E11B3EB2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8D811C0D-57F2-4589-84F8-C0F1840573B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8358EA0D-34DF-4B13-8038-2D983AA48CC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F988A418-4D15-4727-9291-8A82A945978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BDA1FCE8-D75E-4235-8D84-3DEE56AD6452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0BFFEB21-B4A7-41DE-95C1-00D35B03076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D3C17A84-73B8-4DE5-B58F-2C3D91EB96F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3800E765-B72E-4E56-866A-56F3F679780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DEAF77BA-BEC6-4D80-800C-AE40A2541AC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9264A3BD-2DE4-46D5-A993-AF3A5DBAD91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BD4D4322-9851-4626-A316-BB9E97D1AD4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56AFE521-9BAB-4D30-9C48-4D211DBEB11B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4FB033AC-52CB-45F8-B8FD-85B1984633A1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B70D6DA4-85ED-44A0-9E61-3E651DAE8C10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1504B921-DB53-49E4-9240-7180FF5FDC9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F71FA58B-1F66-422D-B915-2AB50DCB4B2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7953F401-6DC1-4FF0-913F-D4BBEACC926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A8DF0B08-7FDA-423E-A727-070397F5720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4A8DFD24-9969-4ABB-B754-D6DB3D9C3AF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ED5CCC42-67C6-42E3-80C9-D3E56066932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FBA48969-7952-4EF6-8941-39676CB56788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6D1946FC-BE31-40A5-BBA5-3B3DCDD8EB7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AAFE544B-5D50-41CB-8F97-2EF99142420D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B816E150-6FA9-4608-9579-6AF3A5CCA28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<sst xmlns="http://schemas.openxmlformats.org/spreadsheetml/2006/main" count="1102" uniqueCount="271">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</sst>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575068</v>
      </c>
    </row>
    <row r="8" spans="1:3" ht="15" customHeight="1" x14ac:dyDescent="0.25">
      <c r="B8" s="7" t="s">
        <v>106</v>
      </c>
      <c r="C8" s="70">
        <v>0.29199999999999998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0.61118221282958995</v>
      </c>
    </row>
    <row r="11" spans="1:3" ht="15" customHeight="1" x14ac:dyDescent="0.25">
      <c r="B11" s="7" t="s">
        <v>108</v>
      </c>
      <c r="C11" s="70">
        <v>0.75099999999999989</v>
      </c>
    </row>
    <row r="12" spans="1:3" ht="15" customHeight="1" x14ac:dyDescent="0.25">
      <c r="B12" s="7" t="s">
        <v>109</v>
      </c>
      <c r="C12" s="70">
        <v>0.79700000000000004</v>
      </c>
    </row>
    <row r="13" spans="1:3" ht="15" customHeight="1" x14ac:dyDescent="0.25">
      <c r="B13" s="7" t="s">
        <v>110</v>
      </c>
      <c r="C13" s="70">
        <v>0.18100000000000002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0.1696</v>
      </c>
    </row>
    <row r="24" spans="1:3" ht="15" customHeight="1" x14ac:dyDescent="0.25">
      <c r="B24" s="20" t="s">
        <v>102</v>
      </c>
      <c r="C24" s="71">
        <v>0.5242</v>
      </c>
    </row>
    <row r="25" spans="1:3" ht="15" customHeight="1" x14ac:dyDescent="0.25">
      <c r="B25" s="20" t="s">
        <v>103</v>
      </c>
      <c r="C25" s="71">
        <v>0.2732</v>
      </c>
    </row>
    <row r="26" spans="1:3" ht="15" customHeight="1" x14ac:dyDescent="0.25">
      <c r="B26" s="20" t="s">
        <v>104</v>
      </c>
      <c r="C26" s="71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7.1</v>
      </c>
    </row>
    <row r="38" spans="1:5" ht="15" customHeight="1" x14ac:dyDescent="0.25">
      <c r="B38" s="16" t="s">
        <v>91</v>
      </c>
      <c r="C38" s="75">
        <v>12.5</v>
      </c>
      <c r="D38" s="17"/>
      <c r="E38" s="18"/>
    </row>
    <row r="39" spans="1:5" ht="15" customHeight="1" x14ac:dyDescent="0.25">
      <c r="B39" s="16" t="s">
        <v>90</v>
      </c>
      <c r="C39" s="75">
        <v>14.5</v>
      </c>
      <c r="D39" s="17"/>
      <c r="E39" s="17"/>
    </row>
    <row r="40" spans="1:5" ht="15" customHeight="1" x14ac:dyDescent="0.25">
      <c r="B40" s="16" t="s">
        <v>171</v>
      </c>
      <c r="C40" s="75">
        <v>0.54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2.69E-2</v>
      </c>
      <c r="D45" s="17"/>
    </row>
    <row r="46" spans="1:5" ht="15.75" customHeight="1" x14ac:dyDescent="0.25">
      <c r="B46" s="16" t="s">
        <v>11</v>
      </c>
      <c r="C46" s="71">
        <v>0.10150000000000001</v>
      </c>
      <c r="D46" s="17"/>
    </row>
    <row r="47" spans="1:5" ht="15.75" customHeight="1" x14ac:dyDescent="0.25">
      <c r="B47" s="16" t="s">
        <v>12</v>
      </c>
      <c r="C47" s="71">
        <v>0.12640000000000001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0.74519999999999986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4.8988958911024998</v>
      </c>
      <c r="D51" s="17"/>
    </row>
    <row r="52" spans="1:4" ht="15" customHeight="1" x14ac:dyDescent="0.25">
      <c r="B52" s="16" t="s">
        <v>125</v>
      </c>
      <c r="C52" s="76">
        <v>4.1722290204999997</v>
      </c>
    </row>
    <row r="53" spans="1:4" ht="15.75" customHeight="1" x14ac:dyDescent="0.25">
      <c r="B53" s="16" t="s">
        <v>126</v>
      </c>
      <c r="C53" s="76">
        <v>4.1722290204999997</v>
      </c>
    </row>
    <row r="54" spans="1:4" ht="15.75" customHeight="1" x14ac:dyDescent="0.25">
      <c r="B54" s="16" t="s">
        <v>127</v>
      </c>
      <c r="C54" s="76">
        <v>2.0981650731900001</v>
      </c>
    </row>
    <row r="55" spans="1:4" ht="15.75" customHeight="1" x14ac:dyDescent="0.25">
      <c r="B55" s="16" t="s">
        <v>128</v>
      </c>
      <c r="C55" s="76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0.5151846600565696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58.536923175170507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39.891505403581561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422.35845794346864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0.63646603499323506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1.4909711180634551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1.4909711180634551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1.4909711180634551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1.4909711180634551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13.023804847377471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13.023804847377471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0.73057064727282073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0.78200000000000003</v>
      </c>
      <c r="C18" s="85">
        <v>0.95</v>
      </c>
      <c r="D18" s="87">
        <v>9.7344812256272366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9.7344812256272366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9.7344812256272366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6.5464220867330107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22.481023737060067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4.2866035394646582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18.590824811122555</v>
      </c>
      <c r="E24" s="86" t="s">
        <v>202</v>
      </c>
    </row>
    <row r="25" spans="1:5" ht="15.75" customHeight="1" x14ac:dyDescent="0.25">
      <c r="A25" s="52" t="s">
        <v>87</v>
      </c>
      <c r="B25" s="85">
        <v>0.66</v>
      </c>
      <c r="C25" s="85">
        <v>0.95</v>
      </c>
      <c r="D25" s="86">
        <v>18.585409107657505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5.2451403613819769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7.3890746355630235</v>
      </c>
      <c r="E27" s="86" t="s">
        <v>202</v>
      </c>
    </row>
    <row r="28" spans="1:5" ht="15.75" customHeight="1" x14ac:dyDescent="0.25">
      <c r="A28" s="52" t="s">
        <v>84</v>
      </c>
      <c r="B28" s="85">
        <v>0.68900000000000006</v>
      </c>
      <c r="C28" s="85">
        <v>0.95</v>
      </c>
      <c r="D28" s="86">
        <v>2.2330145437186695</v>
      </c>
      <c r="E28" s="86" t="s">
        <v>202</v>
      </c>
    </row>
    <row r="29" spans="1:5" ht="15.75" customHeight="1" x14ac:dyDescent="0.25">
      <c r="A29" s="52" t="s">
        <v>58</v>
      </c>
      <c r="B29" s="85">
        <v>0.78200000000000003</v>
      </c>
      <c r="C29" s="85">
        <v>0.95</v>
      </c>
      <c r="D29" s="86">
        <v>114.80634956846563</v>
      </c>
      <c r="E29" s="86" t="s">
        <v>202</v>
      </c>
    </row>
    <row r="30" spans="1:5" ht="15.75" customHeight="1" x14ac:dyDescent="0.25">
      <c r="A30" s="52" t="s">
        <v>67</v>
      </c>
      <c r="B30" s="85">
        <v>1.9E-2</v>
      </c>
      <c r="C30" s="85">
        <v>0.95</v>
      </c>
      <c r="D30" s="86">
        <v>0.40904222984605376</v>
      </c>
      <c r="E30" s="86" t="s">
        <v>202</v>
      </c>
    </row>
    <row r="31" spans="1:5" ht="15.75" customHeight="1" x14ac:dyDescent="0.25">
      <c r="A31" s="52" t="s">
        <v>28</v>
      </c>
      <c r="B31" s="85">
        <v>0.81</v>
      </c>
      <c r="C31" s="85">
        <v>0.95</v>
      </c>
      <c r="D31" s="86">
        <v>1.5698421778540761</v>
      </c>
      <c r="E31" s="86" t="s">
        <v>202</v>
      </c>
    </row>
    <row r="32" spans="1:5" ht="15.75" customHeight="1" x14ac:dyDescent="0.25">
      <c r="A32" s="52" t="s">
        <v>83</v>
      </c>
      <c r="B32" s="85">
        <v>0.91400000000000003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0.41899999999999998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0.75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0.93799999999999994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0.78099999999999992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0.33299999999999996</v>
      </c>
      <c r="C37" s="85">
        <v>0.95</v>
      </c>
      <c r="D37" s="86">
        <v>5.0704877347930708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1.59096410648944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0.1048286356</v>
      </c>
      <c r="C3" s="26">
        <f>frac_mam_1_5months * 2.6</f>
        <v>0.1048286356</v>
      </c>
      <c r="D3" s="26">
        <f>frac_mam_6_11months * 2.6</f>
        <v>4.9781007379999999E-2</v>
      </c>
      <c r="E3" s="26">
        <f>frac_mam_12_23months * 2.6</f>
        <v>4.7624903560000008E-2</v>
      </c>
      <c r="F3" s="26">
        <f>frac_mam_24_59months * 2.6</f>
        <v>3.4469822313333336E-2</v>
      </c>
    </row>
    <row r="4" spans="1:6" ht="15.75" customHeight="1" x14ac:dyDescent="0.25">
      <c r="A4" s="3" t="s">
        <v>66</v>
      </c>
      <c r="B4" s="26">
        <f>frac_sam_1month * 2.6</f>
        <v>4.3208996999999999E-2</v>
      </c>
      <c r="C4" s="26">
        <f>frac_sam_1_5months * 2.6</f>
        <v>4.3208996999999999E-2</v>
      </c>
      <c r="D4" s="26">
        <f>frac_sam_6_11months * 2.6</f>
        <v>8.3356590200000004E-3</v>
      </c>
      <c r="E4" s="26">
        <f>frac_sam_12_23months * 2.6</f>
        <v>6.9897110400000007E-3</v>
      </c>
      <c r="F4" s="26">
        <f>frac_sam_24_59months * 2.6</f>
        <v>5.5079874199999998E-3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117186.67102199998</v>
      </c>
      <c r="C2" s="78">
        <v>319162</v>
      </c>
      <c r="D2" s="78">
        <v>611156</v>
      </c>
      <c r="E2" s="78">
        <v>469821</v>
      </c>
      <c r="F2" s="78">
        <v>395534</v>
      </c>
      <c r="G2" s="22">
        <f t="shared" ref="G2:G40" si="0">C2+D2+E2+F2</f>
        <v>1795673</v>
      </c>
      <c r="H2" s="22">
        <f t="shared" ref="H2:H40" si="1">(B2 + stillbirth*B2/(1000-stillbirth))/(1-abortion)</f>
        <v>136360.92631483407</v>
      </c>
      <c r="I2" s="22">
        <f>G2-H2</f>
        <v>1659312.073685166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116473.98</v>
      </c>
      <c r="C3" s="78">
        <v>309000</v>
      </c>
      <c r="D3" s="78">
        <v>620000</v>
      </c>
      <c r="E3" s="78">
        <v>474000</v>
      </c>
      <c r="F3" s="78">
        <v>401000</v>
      </c>
      <c r="G3" s="22">
        <f t="shared" si="0"/>
        <v>1804000</v>
      </c>
      <c r="H3" s="22">
        <f t="shared" si="1"/>
        <v>135531.62374067068</v>
      </c>
      <c r="I3" s="22">
        <f t="shared" ref="I3:I15" si="3">G3-H3</f>
        <v>1668468.3762593293</v>
      </c>
    </row>
    <row r="4" spans="1:9" ht="15.75" customHeight="1" x14ac:dyDescent="0.25">
      <c r="A4" s="7">
        <f t="shared" si="2"/>
        <v>2019</v>
      </c>
      <c r="B4" s="77">
        <v>115726.42</v>
      </c>
      <c r="C4" s="78">
        <v>299000</v>
      </c>
      <c r="D4" s="78">
        <v>625000</v>
      </c>
      <c r="E4" s="78">
        <v>480000</v>
      </c>
      <c r="F4" s="78">
        <v>406000</v>
      </c>
      <c r="G4" s="22">
        <f t="shared" si="0"/>
        <v>1810000</v>
      </c>
      <c r="H4" s="22">
        <f t="shared" si="1"/>
        <v>134661.74687509454</v>
      </c>
      <c r="I4" s="22">
        <f t="shared" si="3"/>
        <v>1675338.2531249055</v>
      </c>
    </row>
    <row r="5" spans="1:9" ht="15.75" customHeight="1" x14ac:dyDescent="0.25">
      <c r="A5" s="7">
        <f t="shared" si="2"/>
        <v>2020</v>
      </c>
      <c r="B5" s="77">
        <v>114982.81299999999</v>
      </c>
      <c r="C5" s="78">
        <v>291000</v>
      </c>
      <c r="D5" s="78">
        <v>627000</v>
      </c>
      <c r="E5" s="78">
        <v>488000</v>
      </c>
      <c r="F5" s="78">
        <v>410000</v>
      </c>
      <c r="G5" s="22">
        <f t="shared" si="0"/>
        <v>1816000</v>
      </c>
      <c r="H5" s="22">
        <f t="shared" si="1"/>
        <v>133796.4698051865</v>
      </c>
      <c r="I5" s="22">
        <f t="shared" si="3"/>
        <v>1682203.5301948134</v>
      </c>
    </row>
    <row r="6" spans="1:9" ht="15.75" customHeight="1" x14ac:dyDescent="0.25">
      <c r="A6" s="7">
        <f t="shared" si="2"/>
        <v>2021</v>
      </c>
      <c r="B6" s="77">
        <v>113715.1488</v>
      </c>
      <c r="C6" s="78">
        <v>284000</v>
      </c>
      <c r="D6" s="78">
        <v>625000</v>
      </c>
      <c r="E6" s="78">
        <v>497000</v>
      </c>
      <c r="F6" s="78">
        <v>415000</v>
      </c>
      <c r="G6" s="22">
        <f t="shared" si="0"/>
        <v>1821000</v>
      </c>
      <c r="H6" s="22">
        <f t="shared" si="1"/>
        <v>132321.38852622686</v>
      </c>
      <c r="I6" s="22">
        <f t="shared" si="3"/>
        <v>1688678.6114737731</v>
      </c>
    </row>
    <row r="7" spans="1:9" ht="15.75" customHeight="1" x14ac:dyDescent="0.25">
      <c r="A7" s="7">
        <f t="shared" si="2"/>
        <v>2022</v>
      </c>
      <c r="B7" s="77">
        <v>112428.70099999999</v>
      </c>
      <c r="C7" s="78">
        <v>280000</v>
      </c>
      <c r="D7" s="78">
        <v>619000</v>
      </c>
      <c r="E7" s="78">
        <v>509000</v>
      </c>
      <c r="F7" s="78">
        <v>418000</v>
      </c>
      <c r="G7" s="22">
        <f t="shared" si="0"/>
        <v>1826000</v>
      </c>
      <c r="H7" s="22">
        <f t="shared" si="1"/>
        <v>130824.45024703683</v>
      </c>
      <c r="I7" s="22">
        <f t="shared" si="3"/>
        <v>1695175.5497529632</v>
      </c>
    </row>
    <row r="8" spans="1:9" ht="15.75" customHeight="1" x14ac:dyDescent="0.25">
      <c r="A8" s="7">
        <f t="shared" si="2"/>
        <v>2023</v>
      </c>
      <c r="B8" s="77">
        <v>111123.46959999998</v>
      </c>
      <c r="C8" s="78">
        <v>277000</v>
      </c>
      <c r="D8" s="78">
        <v>610000</v>
      </c>
      <c r="E8" s="78">
        <v>521000</v>
      </c>
      <c r="F8" s="78">
        <v>422000</v>
      </c>
      <c r="G8" s="22">
        <f t="shared" si="0"/>
        <v>1830000</v>
      </c>
      <c r="H8" s="22">
        <f t="shared" si="1"/>
        <v>129305.6549676164</v>
      </c>
      <c r="I8" s="22">
        <f t="shared" si="3"/>
        <v>1700694.3450323837</v>
      </c>
    </row>
    <row r="9" spans="1:9" ht="15.75" customHeight="1" x14ac:dyDescent="0.25">
      <c r="A9" s="7">
        <f t="shared" si="2"/>
        <v>2024</v>
      </c>
      <c r="B9" s="77">
        <v>109782.84599999998</v>
      </c>
      <c r="C9" s="78">
        <v>274000</v>
      </c>
      <c r="D9" s="78">
        <v>599000</v>
      </c>
      <c r="E9" s="78">
        <v>534000</v>
      </c>
      <c r="F9" s="78">
        <v>426000</v>
      </c>
      <c r="G9" s="22">
        <f t="shared" si="0"/>
        <v>1833000</v>
      </c>
      <c r="H9" s="22">
        <f t="shared" si="1"/>
        <v>127745.67656443085</v>
      </c>
      <c r="I9" s="22">
        <f t="shared" si="3"/>
        <v>1705254.3234355692</v>
      </c>
    </row>
    <row r="10" spans="1:9" ht="15.75" customHeight="1" x14ac:dyDescent="0.25">
      <c r="A10" s="7">
        <f t="shared" si="2"/>
        <v>2025</v>
      </c>
      <c r="B10" s="77">
        <v>108407.68400000001</v>
      </c>
      <c r="C10" s="78">
        <v>272000</v>
      </c>
      <c r="D10" s="78">
        <v>587000</v>
      </c>
      <c r="E10" s="78">
        <v>547000</v>
      </c>
      <c r="F10" s="78">
        <v>429000</v>
      </c>
      <c r="G10" s="22">
        <f t="shared" si="0"/>
        <v>1835000</v>
      </c>
      <c r="H10" s="22">
        <f t="shared" si="1"/>
        <v>126145.50853749074</v>
      </c>
      <c r="I10" s="22">
        <f t="shared" si="3"/>
        <v>1708854.4914625091</v>
      </c>
    </row>
    <row r="11" spans="1:9" ht="15.75" customHeight="1" x14ac:dyDescent="0.25">
      <c r="A11" s="7">
        <f t="shared" si="2"/>
        <v>2026</v>
      </c>
      <c r="B11" s="77">
        <v>106917.46560000003</v>
      </c>
      <c r="C11" s="78">
        <v>269000</v>
      </c>
      <c r="D11" s="78">
        <v>576000</v>
      </c>
      <c r="E11" s="78">
        <v>558000</v>
      </c>
      <c r="F11" s="78">
        <v>434000</v>
      </c>
      <c r="G11" s="22">
        <f t="shared" si="0"/>
        <v>1837000</v>
      </c>
      <c r="H11" s="22">
        <f t="shared" si="1"/>
        <v>124411.45841333234</v>
      </c>
      <c r="I11" s="22">
        <f t="shared" si="3"/>
        <v>1712588.5415866678</v>
      </c>
    </row>
    <row r="12" spans="1:9" ht="15.75" customHeight="1" x14ac:dyDescent="0.25">
      <c r="A12" s="7">
        <f t="shared" si="2"/>
        <v>2027</v>
      </c>
      <c r="B12" s="77">
        <v>105408.69680000001</v>
      </c>
      <c r="C12" s="78">
        <v>267000</v>
      </c>
      <c r="D12" s="78">
        <v>564000</v>
      </c>
      <c r="E12" s="78">
        <v>570000</v>
      </c>
      <c r="F12" s="78">
        <v>439000</v>
      </c>
      <c r="G12" s="22">
        <f t="shared" si="0"/>
        <v>1840000</v>
      </c>
      <c r="H12" s="22">
        <f t="shared" si="1"/>
        <v>122655.82264547015</v>
      </c>
      <c r="I12" s="22">
        <f t="shared" si="3"/>
        <v>1717344.17735453</v>
      </c>
    </row>
    <row r="13" spans="1:9" ht="15.75" customHeight="1" x14ac:dyDescent="0.25">
      <c r="A13" s="7">
        <f t="shared" si="2"/>
        <v>2028</v>
      </c>
      <c r="B13" s="77">
        <v>103850.52480000001</v>
      </c>
      <c r="C13" s="78">
        <v>265000</v>
      </c>
      <c r="D13" s="78">
        <v>551000</v>
      </c>
      <c r="E13" s="78">
        <v>580000</v>
      </c>
      <c r="F13" s="78">
        <v>444000</v>
      </c>
      <c r="G13" s="22">
        <f t="shared" si="0"/>
        <v>1840000</v>
      </c>
      <c r="H13" s="22">
        <f t="shared" si="1"/>
        <v>120842.70025343678</v>
      </c>
      <c r="I13" s="22">
        <f t="shared" si="3"/>
        <v>1719157.2997465632</v>
      </c>
    </row>
    <row r="14" spans="1:9" ht="15.75" customHeight="1" x14ac:dyDescent="0.25">
      <c r="A14" s="7">
        <f t="shared" si="2"/>
        <v>2029</v>
      </c>
      <c r="B14" s="77">
        <v>102259.872</v>
      </c>
      <c r="C14" s="78">
        <v>264000</v>
      </c>
      <c r="D14" s="78">
        <v>539000</v>
      </c>
      <c r="E14" s="78">
        <v>586000</v>
      </c>
      <c r="F14" s="78">
        <v>451000</v>
      </c>
      <c r="G14" s="22">
        <f t="shared" si="0"/>
        <v>1840000</v>
      </c>
      <c r="H14" s="22">
        <f t="shared" si="1"/>
        <v>118991.78250518395</v>
      </c>
      <c r="I14" s="22">
        <f t="shared" si="3"/>
        <v>1721008.2174948161</v>
      </c>
    </row>
    <row r="15" spans="1:9" ht="15.75" customHeight="1" x14ac:dyDescent="0.25">
      <c r="A15" s="7">
        <f t="shared" si="2"/>
        <v>2030</v>
      </c>
      <c r="B15" s="77">
        <v>100622.808</v>
      </c>
      <c r="C15" s="78">
        <v>263000</v>
      </c>
      <c r="D15" s="78">
        <v>529000</v>
      </c>
      <c r="E15" s="78">
        <v>588000</v>
      </c>
      <c r="F15" s="78">
        <v>459000</v>
      </c>
      <c r="G15" s="22">
        <f t="shared" si="0"/>
        <v>1839000</v>
      </c>
      <c r="H15" s="22">
        <f t="shared" si="1"/>
        <v>117086.859688196</v>
      </c>
      <c r="I15" s="22">
        <f t="shared" si="3"/>
        <v>1721913.1403118039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127.99836162097125</v>
      </c>
      <c r="I17" s="22">
        <f t="shared" si="4"/>
        <v>-127.99836162097125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1.0978139749999999E-2</v>
      </c>
    </row>
    <row r="4" spans="1:8" ht="15.75" customHeight="1" x14ac:dyDescent="0.25">
      <c r="B4" s="24" t="s">
        <v>7</v>
      </c>
      <c r="C4" s="79">
        <v>0.13146536403960846</v>
      </c>
    </row>
    <row r="5" spans="1:8" ht="15.75" customHeight="1" x14ac:dyDescent="0.25">
      <c r="B5" s="24" t="s">
        <v>8</v>
      </c>
      <c r="C5" s="79">
        <v>5.7518782340475222E-2</v>
      </c>
    </row>
    <row r="6" spans="1:8" ht="15.75" customHeight="1" x14ac:dyDescent="0.25">
      <c r="B6" s="24" t="s">
        <v>10</v>
      </c>
      <c r="C6" s="79">
        <v>9.5040986923808551E-2</v>
      </c>
    </row>
    <row r="7" spans="1:8" ht="15.75" customHeight="1" x14ac:dyDescent="0.25">
      <c r="B7" s="24" t="s">
        <v>13</v>
      </c>
      <c r="C7" s="79">
        <v>0.34367088178532024</v>
      </c>
    </row>
    <row r="8" spans="1:8" ht="15.75" customHeight="1" x14ac:dyDescent="0.25">
      <c r="B8" s="24" t="s">
        <v>14</v>
      </c>
      <c r="C8" s="79">
        <v>1.6237588239058058E-4</v>
      </c>
    </row>
    <row r="9" spans="1:8" ht="15.75" customHeight="1" x14ac:dyDescent="0.25">
      <c r="B9" s="24" t="s">
        <v>27</v>
      </c>
      <c r="C9" s="79">
        <v>0.24964862097879548</v>
      </c>
    </row>
    <row r="10" spans="1:8" ht="15.75" customHeight="1" x14ac:dyDescent="0.25">
      <c r="B10" s="24" t="s">
        <v>15</v>
      </c>
      <c r="C10" s="79">
        <v>0.11151484829960145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9.0726213644185399E-2</v>
      </c>
      <c r="D14" s="79">
        <v>9.0726213644185399E-2</v>
      </c>
      <c r="E14" s="79">
        <v>3.6679254689156497E-2</v>
      </c>
      <c r="F14" s="79">
        <v>3.6679254689156497E-2</v>
      </c>
    </row>
    <row r="15" spans="1:8" ht="15.75" customHeight="1" x14ac:dyDescent="0.25">
      <c r="B15" s="24" t="s">
        <v>16</v>
      </c>
      <c r="C15" s="79">
        <v>0.20014491583891497</v>
      </c>
      <c r="D15" s="79">
        <v>0.20014491583891497</v>
      </c>
      <c r="E15" s="79">
        <v>7.8201872986004006E-2</v>
      </c>
      <c r="F15" s="79">
        <v>7.8201872986004006E-2</v>
      </c>
    </row>
    <row r="16" spans="1:8" ht="15.75" customHeight="1" x14ac:dyDescent="0.25">
      <c r="B16" s="24" t="s">
        <v>17</v>
      </c>
      <c r="C16" s="79">
        <v>2.0736682377454199E-2</v>
      </c>
      <c r="D16" s="79">
        <v>2.0736682377454199E-2</v>
      </c>
      <c r="E16" s="79">
        <v>8.3634467713646701E-3</v>
      </c>
      <c r="F16" s="79">
        <v>8.3634467713646701E-3</v>
      </c>
    </row>
    <row r="17" spans="1:8" ht="15.75" customHeight="1" x14ac:dyDescent="0.25">
      <c r="B17" s="24" t="s">
        <v>18</v>
      </c>
      <c r="C17" s="79">
        <v>2.20791659968723E-8</v>
      </c>
      <c r="D17" s="79">
        <v>2.20791659968723E-8</v>
      </c>
      <c r="E17" s="79">
        <v>9.1154872597025783E-8</v>
      </c>
      <c r="F17" s="79">
        <v>9.1154872597025783E-8</v>
      </c>
    </row>
    <row r="18" spans="1:8" ht="15.75" customHeight="1" x14ac:dyDescent="0.25">
      <c r="B18" s="24" t="s">
        <v>19</v>
      </c>
      <c r="C18" s="79">
        <v>1.25533674068673E-6</v>
      </c>
      <c r="D18" s="79">
        <v>1.25533674068673E-6</v>
      </c>
      <c r="E18" s="79">
        <v>5.7717464102602913E-6</v>
      </c>
      <c r="F18" s="79">
        <v>5.7717464102602913E-6</v>
      </c>
    </row>
    <row r="19" spans="1:8" ht="15.75" customHeight="1" x14ac:dyDescent="0.25">
      <c r="B19" s="24" t="s">
        <v>20</v>
      </c>
      <c r="C19" s="79">
        <v>2.8102808112108298E-2</v>
      </c>
      <c r="D19" s="79">
        <v>2.8102808112108298E-2</v>
      </c>
      <c r="E19" s="79">
        <v>4.5337217229590498E-2</v>
      </c>
      <c r="F19" s="79">
        <v>4.5337217229590498E-2</v>
      </c>
    </row>
    <row r="20" spans="1:8" ht="15.75" customHeight="1" x14ac:dyDescent="0.25">
      <c r="B20" s="24" t="s">
        <v>21</v>
      </c>
      <c r="C20" s="79">
        <v>4.2956387765573603E-2</v>
      </c>
      <c r="D20" s="79">
        <v>4.2956387765573603E-2</v>
      </c>
      <c r="E20" s="79">
        <v>0.48683494968373592</v>
      </c>
      <c r="F20" s="79">
        <v>0.48683494968373592</v>
      </c>
    </row>
    <row r="21" spans="1:8" ht="15.75" customHeight="1" x14ac:dyDescent="0.25">
      <c r="B21" s="24" t="s">
        <v>22</v>
      </c>
      <c r="C21" s="79">
        <v>3.8696157000376902E-2</v>
      </c>
      <c r="D21" s="79">
        <v>3.8696157000376902E-2</v>
      </c>
      <c r="E21" s="79">
        <v>0.100877612712361</v>
      </c>
      <c r="F21" s="79">
        <v>0.100877612712361</v>
      </c>
    </row>
    <row r="22" spans="1:8" ht="15.75" customHeight="1" x14ac:dyDescent="0.25">
      <c r="B22" s="24" t="s">
        <v>23</v>
      </c>
      <c r="C22" s="79">
        <v>0.57863555784548004</v>
      </c>
      <c r="D22" s="79">
        <v>0.57863555784548004</v>
      </c>
      <c r="E22" s="79">
        <v>0.24369978302650463</v>
      </c>
      <c r="F22" s="79">
        <v>0.24369978302650463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5.3800000000000001E-2</v>
      </c>
    </row>
    <row r="27" spans="1:8" ht="15.75" customHeight="1" x14ac:dyDescent="0.25">
      <c r="B27" s="24" t="s">
        <v>39</v>
      </c>
      <c r="C27" s="79">
        <v>1.9299999999999998E-2</v>
      </c>
    </row>
    <row r="28" spans="1:8" ht="15.75" customHeight="1" x14ac:dyDescent="0.25">
      <c r="B28" s="24" t="s">
        <v>40</v>
      </c>
      <c r="C28" s="79">
        <v>0.17989999999999998</v>
      </c>
    </row>
    <row r="29" spans="1:8" ht="15.75" customHeight="1" x14ac:dyDescent="0.25">
      <c r="B29" s="24" t="s">
        <v>41</v>
      </c>
      <c r="C29" s="79">
        <v>0.23530000000000001</v>
      </c>
    </row>
    <row r="30" spans="1:8" ht="15.75" customHeight="1" x14ac:dyDescent="0.25">
      <c r="B30" s="24" t="s">
        <v>42</v>
      </c>
      <c r="C30" s="79">
        <v>6.88E-2</v>
      </c>
    </row>
    <row r="31" spans="1:8" ht="15.75" customHeight="1" x14ac:dyDescent="0.25">
      <c r="B31" s="24" t="s">
        <v>43</v>
      </c>
      <c r="C31" s="79">
        <v>4.4800000000000006E-2</v>
      </c>
    </row>
    <row r="32" spans="1:8" ht="15.75" customHeight="1" x14ac:dyDescent="0.25">
      <c r="B32" s="24" t="s">
        <v>44</v>
      </c>
      <c r="C32" s="79">
        <v>1.9699999999999999E-2</v>
      </c>
    </row>
    <row r="33" spans="2:3" ht="15.75" customHeight="1" x14ac:dyDescent="0.25">
      <c r="B33" s="24" t="s">
        <v>45</v>
      </c>
      <c r="C33" s="79">
        <v>0.14849999999999999</v>
      </c>
    </row>
    <row r="34" spans="2:3" ht="15.75" customHeight="1" x14ac:dyDescent="0.25">
      <c r="B34" s="24" t="s">
        <v>46</v>
      </c>
      <c r="C34" s="79">
        <v>0.22990000000000013</v>
      </c>
    </row>
    <row r="35" spans="2:3" ht="15.75" customHeight="1" x14ac:dyDescent="0.25">
      <c r="B35" s="32" t="s">
        <v>129</v>
      </c>
      <c r="C35" s="74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0.6944846597951273</v>
      </c>
      <c r="D2" s="80">
        <v>0.6944846597951273</v>
      </c>
      <c r="E2" s="80">
        <v>0.65388938671436958</v>
      </c>
      <c r="F2" s="80">
        <v>0.54318393079091176</v>
      </c>
      <c r="G2" s="80">
        <v>0.50538876527815091</v>
      </c>
    </row>
    <row r="3" spans="1:15" ht="15.75" customHeight="1" x14ac:dyDescent="0.25">
      <c r="A3" s="5"/>
      <c r="B3" s="11" t="s">
        <v>118</v>
      </c>
      <c r="C3" s="80">
        <v>0.20584725168028239</v>
      </c>
      <c r="D3" s="80">
        <v>0.20584725168028239</v>
      </c>
      <c r="E3" s="80">
        <v>0.23830635426923694</v>
      </c>
      <c r="F3" s="80">
        <v>0.29816074461892439</v>
      </c>
      <c r="G3" s="80">
        <v>0.3278197396398817</v>
      </c>
    </row>
    <row r="4" spans="1:15" ht="15.75" customHeight="1" x14ac:dyDescent="0.25">
      <c r="A4" s="5"/>
      <c r="B4" s="11" t="s">
        <v>116</v>
      </c>
      <c r="C4" s="81">
        <v>5.5936172131147543E-2</v>
      </c>
      <c r="D4" s="81">
        <v>5.5936172131147543E-2</v>
      </c>
      <c r="E4" s="81">
        <v>6.407234262295082E-2</v>
      </c>
      <c r="F4" s="81">
        <v>0.11492340819672132</v>
      </c>
      <c r="G4" s="81">
        <v>0.1230595786885246</v>
      </c>
    </row>
    <row r="5" spans="1:15" ht="15.75" customHeight="1" x14ac:dyDescent="0.25">
      <c r="A5" s="5"/>
      <c r="B5" s="11" t="s">
        <v>119</v>
      </c>
      <c r="C5" s="81">
        <v>4.3731916393442628E-2</v>
      </c>
      <c r="D5" s="81">
        <v>4.3731916393442628E-2</v>
      </c>
      <c r="E5" s="81">
        <v>4.3731916393442628E-2</v>
      </c>
      <c r="F5" s="81">
        <v>4.3731916393442628E-2</v>
      </c>
      <c r="G5" s="81">
        <v>4.3731916393442628E-2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0.8130538399119831</v>
      </c>
      <c r="D8" s="80">
        <v>0.8130538399119831</v>
      </c>
      <c r="E8" s="80">
        <v>0.89843292580102563</v>
      </c>
      <c r="F8" s="80">
        <v>0.88499491870786517</v>
      </c>
      <c r="G8" s="80">
        <v>0.89756875573373995</v>
      </c>
    </row>
    <row r="9" spans="1:15" ht="15.75" customHeight="1" x14ac:dyDescent="0.25">
      <c r="B9" s="7" t="s">
        <v>121</v>
      </c>
      <c r="C9" s="80">
        <v>0.13000860908801698</v>
      </c>
      <c r="D9" s="80">
        <v>0.13000860908801698</v>
      </c>
      <c r="E9" s="80">
        <v>7.9214510198974367E-2</v>
      </c>
      <c r="F9" s="80">
        <v>9.3999460292134837E-2</v>
      </c>
      <c r="G9" s="80">
        <v>8.7055163599593505E-2</v>
      </c>
    </row>
    <row r="10" spans="1:15" ht="15.75" customHeight="1" x14ac:dyDescent="0.25">
      <c r="B10" s="7" t="s">
        <v>122</v>
      </c>
      <c r="C10" s="81">
        <v>4.0318705999999996E-2</v>
      </c>
      <c r="D10" s="81">
        <v>4.0318705999999996E-2</v>
      </c>
      <c r="E10" s="81">
        <v>1.91465413E-2</v>
      </c>
      <c r="F10" s="81">
        <v>1.8317270600000001E-2</v>
      </c>
      <c r="G10" s="81">
        <v>1.3257623966666666E-2</v>
      </c>
    </row>
    <row r="11" spans="1:15" ht="15.75" customHeight="1" x14ac:dyDescent="0.25">
      <c r="B11" s="7" t="s">
        <v>123</v>
      </c>
      <c r="C11" s="81">
        <v>1.6618845E-2</v>
      </c>
      <c r="D11" s="81">
        <v>1.6618845E-2</v>
      </c>
      <c r="E11" s="81">
        <v>3.2060227E-3</v>
      </c>
      <c r="F11" s="81">
        <v>2.6883504000000001E-3</v>
      </c>
      <c r="G11" s="81">
        <v>2.1184566999999997E-3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0.62117420374999999</v>
      </c>
      <c r="D14" s="82">
        <v>0.58930203002600001</v>
      </c>
      <c r="E14" s="82">
        <v>0.58930203002600001</v>
      </c>
      <c r="F14" s="82">
        <v>0.24906386424600002</v>
      </c>
      <c r="G14" s="82">
        <v>0.24906386424600002</v>
      </c>
      <c r="H14" s="83">
        <v>0.28999999999999998</v>
      </c>
      <c r="I14" s="83">
        <v>0.28999999999999998</v>
      </c>
      <c r="J14" s="83">
        <v>0.28999999999999998</v>
      </c>
      <c r="K14" s="83">
        <v>0.28999999999999998</v>
      </c>
      <c r="L14" s="83">
        <v>0.17614536294300001</v>
      </c>
      <c r="M14" s="83">
        <v>0.16061889359699999</v>
      </c>
      <c r="N14" s="83">
        <v>0.1159066991015</v>
      </c>
      <c r="O14" s="83">
        <v>0.15034398763500001</v>
      </c>
    </row>
    <row r="15" spans="1:15" ht="15.75" customHeight="1" x14ac:dyDescent="0.25">
      <c r="B15" s="16" t="s">
        <v>68</v>
      </c>
      <c r="C15" s="80">
        <f>iron_deficiency_anaemia*C14</f>
        <v>0.32001942099485403</v>
      </c>
      <c r="D15" s="80">
        <f t="shared" ref="D15:O15" si="0">iron_deficiency_anaemia*D14</f>
        <v>0.3035993660095912</v>
      </c>
      <c r="E15" s="80">
        <f t="shared" si="0"/>
        <v>0.3035993660095912</v>
      </c>
      <c r="F15" s="80">
        <f t="shared" si="0"/>
        <v>0.12831388223395113</v>
      </c>
      <c r="G15" s="80">
        <f t="shared" si="0"/>
        <v>0.12831388223395113</v>
      </c>
      <c r="H15" s="80">
        <f t="shared" si="0"/>
        <v>0.14940355141640518</v>
      </c>
      <c r="I15" s="80">
        <f t="shared" si="0"/>
        <v>0.14940355141640518</v>
      </c>
      <c r="J15" s="80">
        <f t="shared" si="0"/>
        <v>0.14940355141640518</v>
      </c>
      <c r="K15" s="80">
        <f t="shared" si="0"/>
        <v>0.14940355141640518</v>
      </c>
      <c r="L15" s="80">
        <f t="shared" si="0"/>
        <v>9.0747388928330536E-2</v>
      </c>
      <c r="M15" s="80">
        <f t="shared" si="0"/>
        <v>8.274839009643277E-2</v>
      </c>
      <c r="N15" s="80">
        <f t="shared" si="0"/>
        <v>5.9713353374885383E-2</v>
      </c>
      <c r="O15" s="80">
        <f t="shared" si="0"/>
        <v>7.745491616128658E-2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0.66900000000000004</v>
      </c>
      <c r="D2" s="81">
        <v>0.44600000000000001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0.105</v>
      </c>
      <c r="D3" s="81">
        <v>0.122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</v>
      </c>
      <c r="D4" s="81">
        <v>0.38</v>
      </c>
      <c r="E4" s="81">
        <v>0.8590000000000001</v>
      </c>
      <c r="F4" s="81">
        <v>0.66700000000000004</v>
      </c>
      <c r="G4" s="81">
        <v>0</v>
      </c>
    </row>
    <row r="5" spans="1:7" x14ac:dyDescent="0.25">
      <c r="B5" s="43" t="s">
        <v>169</v>
      </c>
      <c r="C5" s="80">
        <f>1-SUM(C2:C4)</f>
        <v>4.6000000000000041E-2</v>
      </c>
      <c r="D5" s="80">
        <f>1-SUM(D2:D4)</f>
        <v>5.1999999999999935E-2</v>
      </c>
      <c r="E5" s="80">
        <f>1-SUM(E2:E4)</f>
        <v>0.1409999999999999</v>
      </c>
      <c r="F5" s="80">
        <f>1-SUM(F2:F4)</f>
        <v>0.33299999999999996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0.13913999999999999</v>
      </c>
      <c r="D2" s="144">
        <v>0.13345000000000001</v>
      </c>
      <c r="E2" s="144">
        <v>0.12797</v>
      </c>
      <c r="F2" s="144">
        <v>0.12272</v>
      </c>
      <c r="G2" s="144">
        <v>0.11768000000000001</v>
      </c>
      <c r="H2" s="144">
        <v>0.11273999999999999</v>
      </c>
      <c r="I2" s="144">
        <v>0.10798999999999999</v>
      </c>
      <c r="J2" s="144">
        <v>0.10345</v>
      </c>
      <c r="K2" s="144">
        <v>9.9100000000000008E-2</v>
      </c>
      <c r="L2" s="144">
        <v>9.493E-2</v>
      </c>
      <c r="M2" s="144">
        <v>9.0939999999999993E-2</v>
      </c>
      <c r="N2" s="144">
        <v>8.7120000000000003E-2</v>
      </c>
      <c r="O2" s="144">
        <v>8.345000000000001E-2</v>
      </c>
      <c r="P2" s="144">
        <v>7.9939999999999997E-2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1.538E-2</v>
      </c>
      <c r="D4" s="144">
        <v>1.529E-2</v>
      </c>
      <c r="E4" s="144">
        <v>1.521E-2</v>
      </c>
      <c r="F4" s="144">
        <v>1.5129999999999999E-2</v>
      </c>
      <c r="G4" s="144">
        <v>1.506E-2</v>
      </c>
      <c r="H4" s="144">
        <v>1.502E-2</v>
      </c>
      <c r="I4" s="144">
        <v>1.4990000000000002E-2</v>
      </c>
      <c r="J4" s="144">
        <v>1.4959999999999999E-2</v>
      </c>
      <c r="K4" s="144">
        <v>1.494E-2</v>
      </c>
      <c r="L4" s="144">
        <v>1.4910000000000001E-2</v>
      </c>
      <c r="M4" s="144">
        <v>1.489E-2</v>
      </c>
      <c r="N4" s="144">
        <v>1.4879999999999999E-2</v>
      </c>
      <c r="O4" s="144">
        <v>1.4870000000000001E-2</v>
      </c>
      <c r="P4" s="144">
        <v>1.4870000000000001E-2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0.16364464657216687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0.14940355141640518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7.5797244027648564E-2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0.48316666666666669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0.73099999999999998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12.427</v>
      </c>
      <c r="D13" s="143">
        <v>12.052</v>
      </c>
      <c r="E13" s="143">
        <v>11.555</v>
      </c>
      <c r="F13" s="143">
        <v>11.266</v>
      </c>
      <c r="G13" s="143">
        <v>10.827</v>
      </c>
      <c r="H13" s="143">
        <v>10.465999999999999</v>
      </c>
      <c r="I13" s="143">
        <v>10.125</v>
      </c>
      <c r="J13" s="143">
        <v>9.8219999999999992</v>
      </c>
      <c r="K13" s="143">
        <v>9.5280000000000005</v>
      </c>
      <c r="L13" s="143">
        <v>9.1750000000000007</v>
      </c>
      <c r="M13" s="143">
        <v>9.3729999999999993</v>
      </c>
      <c r="N13" s="143">
        <v>8.56</v>
      </c>
      <c r="O13" s="143">
        <v>8.6189999999999998</v>
      </c>
      <c r="P13" s="143">
        <v>8.4480000000000004</v>
      </c>
    </row>
    <row r="14" spans="1:16" x14ac:dyDescent="0.25">
      <c r="B14" s="16" t="s">
        <v>170</v>
      </c>
      <c r="C14" s="143">
        <f>maternal_mortality</f>
        <v>0.54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0.29199999999999998</v>
      </c>
      <c r="E2" s="92">
        <f>food_insecure</f>
        <v>0.29199999999999998</v>
      </c>
      <c r="F2" s="92">
        <f>food_insecure</f>
        <v>0.29199999999999998</v>
      </c>
      <c r="G2" s="92">
        <f>food_insecure</f>
        <v>0.29199999999999998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0.29199999999999998</v>
      </c>
      <c r="F5" s="92">
        <f>food_insecure</f>
        <v>0.29199999999999998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0.18841907273471153</v>
      </c>
      <c r="D7" s="92">
        <f>diarrhoea_1_5mo/26</f>
        <v>0.16047034694230769</v>
      </c>
      <c r="E7" s="92">
        <f>diarrhoea_6_11mo/26</f>
        <v>0.16047034694230769</v>
      </c>
      <c r="F7" s="92">
        <f>diarrhoea_12_23mo/26</f>
        <v>8.0698656661153848E-2</v>
      </c>
      <c r="G7" s="92">
        <f>diarrhoea_24_59mo/26</f>
        <v>8.0698656661153848E-2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0.29199999999999998</v>
      </c>
      <c r="F8" s="92">
        <f>food_insecure</f>
        <v>0.29199999999999998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0.79700000000000004</v>
      </c>
      <c r="E9" s="92">
        <f>IF(ISBLANK(comm_deliv), frac_children_health_facility,1)</f>
        <v>0.79700000000000004</v>
      </c>
      <c r="F9" s="92">
        <f>IF(ISBLANK(comm_deliv), frac_children_health_facility,1)</f>
        <v>0.79700000000000004</v>
      </c>
      <c r="G9" s="92">
        <f>IF(ISBLANK(comm_deliv), frac_children_health_facility,1)</f>
        <v>0.79700000000000004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0.18841907273471153</v>
      </c>
      <c r="D11" s="92">
        <f>diarrhoea_1_5mo/26</f>
        <v>0.16047034694230769</v>
      </c>
      <c r="E11" s="92">
        <f>diarrhoea_6_11mo/26</f>
        <v>0.16047034694230769</v>
      </c>
      <c r="F11" s="92">
        <f>diarrhoea_12_23mo/26</f>
        <v>8.0698656661153848E-2</v>
      </c>
      <c r="G11" s="92">
        <f>diarrhoea_24_59mo/26</f>
        <v>8.0698656661153848E-2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0.29199999999999998</v>
      </c>
      <c r="I14" s="92">
        <f>food_insecure</f>
        <v>0.29199999999999998</v>
      </c>
      <c r="J14" s="92">
        <f>food_insecure</f>
        <v>0.29199999999999998</v>
      </c>
      <c r="K14" s="92">
        <f>food_insecure</f>
        <v>0.29199999999999998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0.75099999999999989</v>
      </c>
      <c r="I17" s="92">
        <f>frac_PW_health_facility</f>
        <v>0.75099999999999989</v>
      </c>
      <c r="J17" s="92">
        <f>frac_PW_health_facility</f>
        <v>0.75099999999999989</v>
      </c>
      <c r="K17" s="92">
        <f>frac_PW_health_facility</f>
        <v>0.75099999999999989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0.18100000000000002</v>
      </c>
      <c r="M23" s="92">
        <f>famplan_unmet_need</f>
        <v>0.18100000000000002</v>
      </c>
      <c r="N23" s="92">
        <f>famplan_unmet_need</f>
        <v>0.18100000000000002</v>
      </c>
      <c r="O23" s="92">
        <f>famplan_unmet_need</f>
        <v>0.18100000000000002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0.21436302242279043</v>
      </c>
      <c r="M24" s="92">
        <f>(1-food_insecure)*(0.49)+food_insecure*(0.7)</f>
        <v>0.55131999999999992</v>
      </c>
      <c r="N24" s="92">
        <f>(1-food_insecure)*(0.49)+food_insecure*(0.7)</f>
        <v>0.55131999999999992</v>
      </c>
      <c r="O24" s="92">
        <f>(1-food_insecure)*(0.49)+food_insecure*(0.7)</f>
        <v>0.55131999999999992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9.1869866752624485E-2</v>
      </c>
      <c r="M25" s="92">
        <f>(1-food_insecure)*(0.21)+food_insecure*(0.3)</f>
        <v>0.23627999999999999</v>
      </c>
      <c r="N25" s="92">
        <f>(1-food_insecure)*(0.21)+food_insecure*(0.3)</f>
        <v>0.23627999999999999</v>
      </c>
      <c r="O25" s="92">
        <f>(1-food_insecure)*(0.21)+food_insecure*(0.3)</f>
        <v>0.23627999999999999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8.2584897994995091E-2</v>
      </c>
      <c r="M26" s="92">
        <f>(1-food_insecure)*(0.3)</f>
        <v>0.21239999999999998</v>
      </c>
      <c r="N26" s="92">
        <f>(1-food_insecure)*(0.3)</f>
        <v>0.21239999999999998</v>
      </c>
      <c r="O26" s="92">
        <f>(1-food_insecure)*(0.3)</f>
        <v>0.21239999999999998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0.61118221282958995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2020-03-24T06:49:03Z</dcterms:modified>
</cp:coreProperties>
</file>