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dominic.delport\Documents\Optima Nutrition Work\SDG project data\Modelling\Optima\inputs\"/>
    </mc:Choice>
  </mc:AlternateContent>
  <xr:revisionPtr revIDLastSave="0" documentId="8_{7D9A89D9-D424-49D6-ABC2-9B9C4A820C89}" xr6:coauthVersionLast="45" xr6:coauthVersionMax="45" xr10:uidLastSave="{00000000-0000-0000-0000-000000000000}"/>
  <bookViews>
    <workbookView xWindow="-110" yWindow="-110" windowWidth="19420" windowHeight="10420" tabRatio="894" firstSheet="2" activeTab="11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state="hidden" r:id="rId7"/>
    <sheet name="Treatment of SAM" sheetId="60" state="hidden" r:id="rId8"/>
    <sheet name="Programs target population" sheetId="21" state="hidden" r:id="rId9"/>
    <sheet name="Programs cost and coverage" sheetId="56" r:id="rId10"/>
    <sheet name="IYCF cost" sheetId="57" state="hidden" r:id="rId11"/>
    <sheet name="Program dependencies" sheetId="58" r:id="rId12"/>
    <sheet name="Reference programs" sheetId="59" state="hidden" r:id="rId13"/>
    <sheet name="Incidence of conditions" sheetId="7" state="hidden" r:id="rId14"/>
    <sheet name="Cost curve options" sheetId="61" state="hidden" r:id="rId15"/>
    <sheet name="Programs family planning" sheetId="54" state="hidden" r:id="rId16"/>
    <sheet name="Programs impacted population" sheetId="62" state="hidden" r:id="rId17"/>
    <sheet name="Program risk areas" sheetId="63" state="hidden" r:id="rId18"/>
    <sheet name="Population risk areas" sheetId="64" state="hidden" r:id="rId19"/>
    <sheet name="IYCF odds ratios" sheetId="65" state="hidden" r:id="rId20"/>
    <sheet name="Birth outcome risks" sheetId="66" state="hidden" r:id="rId21"/>
    <sheet name="Relative risks" sheetId="67" state="hidden" r:id="rId22"/>
    <sheet name="Odds ratios" sheetId="68" state="hidden" r:id="rId23"/>
    <sheet name="Programs birth outcomes" sheetId="69" state="hidden" r:id="rId24"/>
    <sheet name="Programs anemia" sheetId="70" state="hidden" r:id="rId25"/>
    <sheet name="Programs wasting" sheetId="71" state="hidden" r:id="rId26"/>
    <sheet name="Programs for children" sheetId="72" state="hidden" r:id="rId27"/>
    <sheet name="Programs for PW" sheetId="73" state="hidden" r:id="rId28"/>
  </sheets>
  <definedNames>
    <definedName name="_xlnm._FilterDatabase" localSheetId="20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" i="7" l="1"/>
  <c r="C11" i="51"/>
  <c r="C10" i="51"/>
  <c r="C14" i="51"/>
  <c r="C15" i="5"/>
  <c r="E31" i="21"/>
  <c r="D5" i="65"/>
  <c r="C35" i="4"/>
  <c r="D23" i="4"/>
  <c r="E23" i="4"/>
  <c r="F23" i="4"/>
  <c r="C23" i="4"/>
  <c r="C11" i="4"/>
  <c r="A1" i="4"/>
  <c r="M23" i="21"/>
  <c r="N23" i="21"/>
  <c r="O23" i="21"/>
  <c r="L23" i="21"/>
  <c r="G11" i="21"/>
  <c r="F11" i="21"/>
  <c r="E11" i="21"/>
  <c r="D11" i="21"/>
  <c r="C11" i="21"/>
  <c r="E7" i="21"/>
  <c r="G7" i="21"/>
  <c r="F7" i="21"/>
  <c r="D7" i="21"/>
  <c r="C7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D6" i="57"/>
  <c r="C6" i="57"/>
  <c r="D5" i="57"/>
  <c r="C5" i="57"/>
  <c r="D4" i="57"/>
  <c r="C4" i="57"/>
  <c r="D3" i="57"/>
  <c r="C3" i="57"/>
  <c r="C2" i="57"/>
  <c r="A2" i="2"/>
  <c r="A34" i="2"/>
  <c r="G16" i="2"/>
  <c r="H16" i="2"/>
  <c r="I16" i="2" s="1"/>
  <c r="G17" i="2"/>
  <c r="H17" i="2"/>
  <c r="I17" i="2" s="1"/>
  <c r="G18" i="2"/>
  <c r="H18" i="2"/>
  <c r="G19" i="2"/>
  <c r="H19" i="2"/>
  <c r="I19" i="2"/>
  <c r="G20" i="2"/>
  <c r="H20" i="2"/>
  <c r="G21" i="2"/>
  <c r="H21" i="2"/>
  <c r="I21" i="2"/>
  <c r="G22" i="2"/>
  <c r="H22" i="2"/>
  <c r="G23" i="2"/>
  <c r="H23" i="2"/>
  <c r="I23" i="2" s="1"/>
  <c r="G24" i="2"/>
  <c r="H24" i="2"/>
  <c r="I24" i="2" s="1"/>
  <c r="G25" i="2"/>
  <c r="H25" i="2"/>
  <c r="I25" i="2" s="1"/>
  <c r="G26" i="2"/>
  <c r="H26" i="2"/>
  <c r="I26" i="2" s="1"/>
  <c r="G27" i="2"/>
  <c r="H27" i="2"/>
  <c r="I27" i="2" s="1"/>
  <c r="G28" i="2"/>
  <c r="H28" i="2"/>
  <c r="I28" i="2" s="1"/>
  <c r="G29" i="2"/>
  <c r="H29" i="2"/>
  <c r="G30" i="2"/>
  <c r="H30" i="2"/>
  <c r="I30" i="2" s="1"/>
  <c r="G31" i="2"/>
  <c r="H31" i="2"/>
  <c r="I31" i="2" s="1"/>
  <c r="G32" i="2"/>
  <c r="H32" i="2"/>
  <c r="I32" i="2" s="1"/>
  <c r="G33" i="2"/>
  <c r="H33" i="2"/>
  <c r="G34" i="2"/>
  <c r="H34" i="2"/>
  <c r="G35" i="2"/>
  <c r="H35" i="2"/>
  <c r="I35" i="2" s="1"/>
  <c r="G36" i="2"/>
  <c r="H36" i="2"/>
  <c r="I36" i="2" s="1"/>
  <c r="G37" i="2"/>
  <c r="H37" i="2"/>
  <c r="I37" i="2" s="1"/>
  <c r="G38" i="2"/>
  <c r="H38" i="2"/>
  <c r="I38" i="2" s="1"/>
  <c r="G39" i="2"/>
  <c r="H39" i="2"/>
  <c r="I39" i="2" s="1"/>
  <c r="G40" i="2"/>
  <c r="H40" i="2"/>
  <c r="I40" i="2" s="1"/>
  <c r="I17" i="21"/>
  <c r="J17" i="21"/>
  <c r="K17" i="21"/>
  <c r="H17" i="21"/>
  <c r="K16" i="21"/>
  <c r="J16" i="21"/>
  <c r="I16" i="21"/>
  <c r="H16" i="21"/>
  <c r="E9" i="21"/>
  <c r="F9" i="21"/>
  <c r="G9" i="21"/>
  <c r="D9" i="21"/>
  <c r="I21" i="2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/>
  <c r="E3" i="55"/>
  <c r="E4" i="55"/>
  <c r="E5" i="55"/>
  <c r="E6" i="55"/>
  <c r="F2" i="7"/>
  <c r="E2" i="7"/>
  <c r="D2" i="7"/>
  <c r="C2" i="7"/>
  <c r="B2" i="7"/>
  <c r="F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3" i="21"/>
  <c r="O29" i="2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C7" i="51" s="1"/>
  <c r="J15" i="5"/>
  <c r="I15" i="5"/>
  <c r="H15" i="5"/>
  <c r="G15" i="5"/>
  <c r="F15" i="5"/>
  <c r="E15" i="5"/>
  <c r="D15" i="5"/>
  <c r="C6" i="51" s="1"/>
  <c r="G5" i="50"/>
  <c r="F5" i="50"/>
  <c r="E5" i="50"/>
  <c r="D5" i="50"/>
  <c r="C5" i="50"/>
  <c r="C48" i="1"/>
  <c r="H3" i="2"/>
  <c r="H4" i="2"/>
  <c r="G4" i="2"/>
  <c r="H5" i="2"/>
  <c r="H6" i="2"/>
  <c r="H7" i="2"/>
  <c r="H8" i="2"/>
  <c r="H9" i="2"/>
  <c r="H10" i="2"/>
  <c r="H11" i="2"/>
  <c r="I11" i="2" s="1"/>
  <c r="H12" i="2"/>
  <c r="I12" i="2" s="1"/>
  <c r="H13" i="2"/>
  <c r="H14" i="2"/>
  <c r="H15" i="2"/>
  <c r="C20" i="1"/>
  <c r="G3" i="2"/>
  <c r="G5" i="2"/>
  <c r="G6" i="2"/>
  <c r="G7" i="2"/>
  <c r="G8" i="2"/>
  <c r="G9" i="2"/>
  <c r="G10" i="2"/>
  <c r="G11" i="2"/>
  <c r="G12" i="2"/>
  <c r="G13" i="2"/>
  <c r="G14" i="2"/>
  <c r="G15" i="2"/>
  <c r="G2" i="2"/>
  <c r="I34" i="2"/>
  <c r="I22" i="2"/>
  <c r="I18" i="2"/>
  <c r="I20" i="2"/>
  <c r="I33" i="2"/>
  <c r="I29" i="2"/>
  <c r="A3" i="2"/>
  <c r="A24" i="2"/>
  <c r="A18" i="2"/>
  <c r="A36" i="2"/>
  <c r="A40" i="2"/>
  <c r="A22" i="2"/>
  <c r="A25" i="2"/>
  <c r="A29" i="2"/>
  <c r="A27" i="2"/>
  <c r="A31" i="2"/>
  <c r="A20" i="2"/>
  <c r="A16" i="2"/>
  <c r="A19" i="2"/>
  <c r="A35" i="2"/>
  <c r="A28" i="2"/>
  <c r="A17" i="2"/>
  <c r="A33" i="2"/>
  <c r="A30" i="2"/>
  <c r="A26" i="2"/>
  <c r="A23" i="2"/>
  <c r="A39" i="2"/>
  <c r="A32" i="2"/>
  <c r="A21" i="2"/>
  <c r="A37" i="2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8" i="2"/>
  <c r="I15" i="2" l="1"/>
  <c r="I14" i="2"/>
  <c r="I13" i="2"/>
  <c r="I10" i="2"/>
  <c r="I9" i="2"/>
  <c r="I8" i="2"/>
  <c r="I7" i="2"/>
  <c r="I6" i="2"/>
  <c r="I5" i="2"/>
  <c r="I4" i="2"/>
  <c r="I3" i="2"/>
  <c r="I2" i="2"/>
  <c r="C8" i="5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7" authorId="0" shapeId="0" xr:uid="{CA2E93BD-4F54-433D-90D6-AA34DE1C1FE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8" authorId="0" shapeId="0" xr:uid="{E21C54AB-1CED-47C2-A2CB-FF79678E33EC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9" authorId="0" shapeId="0" xr:uid="{1BA2E6EA-7992-4D4F-BD56-029337067A16}">
      <text>
        <r>
          <rPr>
            <sz val="9"/>
            <color indexed="81"/>
            <rFont val="Tahoma"/>
            <charset val="1"/>
          </rPr>
          <t>Source: LiST [Percentage of women exposed]</t>
        </r>
      </text>
    </comment>
    <comment ref="C10" authorId="0" shapeId="0" xr:uid="{BBC6EA41-AD85-4ABD-B0C7-6D7FCFECA059}">
      <text>
        <r>
          <rPr>
            <sz val="9"/>
            <color indexed="81"/>
            <rFont val="Tahoma"/>
            <charset val="1"/>
          </rPr>
          <t>Source: World Bank Development Indicators (Region level)</t>
        </r>
      </text>
    </comment>
    <comment ref="C11" authorId="0" shapeId="0" xr:uid="{641E0780-826B-4C8A-A21B-48DCE2399020}">
      <text>
        <r>
          <rPr>
            <sz val="9"/>
            <color indexed="81"/>
            <rFont val="Tahoma"/>
            <charset val="1"/>
          </rPr>
          <t>Source: WHO Global Health Observatory (Country level)</t>
        </r>
      </text>
    </comment>
    <comment ref="C12" authorId="0" shapeId="0" xr:uid="{B93AA1C7-059B-444D-A207-8485D1764059}">
      <text>
        <r>
          <rPr>
            <sz val="9"/>
            <color indexed="81"/>
            <rFont val="Tahoma"/>
            <charset val="1"/>
          </rPr>
          <t>Source: Old WHO Global Health Observatory data [Filler data]</t>
        </r>
      </text>
    </comment>
    <comment ref="C13" authorId="0" shapeId="0" xr:uid="{0EA4AD19-F0B0-4626-B5A5-7FE2DCE6E21C}">
      <text>
        <r>
          <rPr>
            <sz val="9"/>
            <color indexed="81"/>
            <rFont val="Tahoma"/>
            <charset val="1"/>
          </rPr>
          <t>Source: WHO Global Health Observatory (Region level)</t>
        </r>
      </text>
    </comment>
    <comment ref="C16" authorId="0" shapeId="0" xr:uid="{DAAB1495-D40B-4D35-9E9E-CDD120579EC2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17" authorId="0" shapeId="0" xr:uid="{D91D8BBB-E957-4C8B-B32B-B52030D6B5B7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18" authorId="0" shapeId="0" xr:uid="{7A843FA3-3698-42FB-BCF8-9C090D760BB8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19" authorId="0" shapeId="0" xr:uid="{4B0F5907-336B-4EB8-8D90-FED58C47BCB5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23" authorId="0" shapeId="0" xr:uid="{9D81AE16-F559-4092-9840-67107A103F16}">
      <text>
        <r>
          <rPr>
            <sz val="9"/>
            <color indexed="81"/>
            <rFont val="Tahoma"/>
            <charset val="1"/>
          </rPr>
          <t>Source: LiST</t>
        </r>
      </text>
    </comment>
    <comment ref="C24" authorId="0" shapeId="0" xr:uid="{DAA9C0F3-2B05-454A-A516-CB5AAF088E9B}">
      <text>
        <r>
          <rPr>
            <sz val="9"/>
            <color indexed="81"/>
            <rFont val="Tahoma"/>
            <charset val="1"/>
          </rPr>
          <t>Source: LiST</t>
        </r>
      </text>
    </comment>
    <comment ref="C25" authorId="0" shapeId="0" xr:uid="{A34C197E-5B92-4D02-9D74-1AD61446D60F}">
      <text>
        <r>
          <rPr>
            <sz val="9"/>
            <color indexed="81"/>
            <rFont val="Tahoma"/>
            <charset val="1"/>
          </rPr>
          <t>Source: LiST</t>
        </r>
      </text>
    </comment>
    <comment ref="C26" authorId="0" shapeId="0" xr:uid="{1A4E1412-6245-42A9-AFD3-284563F1A060}">
      <text>
        <r>
          <rPr>
            <sz val="9"/>
            <color indexed="81"/>
            <rFont val="Tahoma"/>
            <charset val="1"/>
          </rPr>
          <t>Source: LiST</t>
        </r>
      </text>
    </comment>
    <comment ref="C29" authorId="0" shapeId="0" xr:uid="{DFDCB730-29B7-4227-AEDB-CC49129C6130}">
      <text>
        <r>
          <rPr>
            <sz val="9"/>
            <color indexed="81"/>
            <rFont val="Tahoma"/>
            <charset val="1"/>
          </rPr>
          <t>Source: LiST</t>
        </r>
      </text>
    </comment>
    <comment ref="C30" authorId="0" shapeId="0" xr:uid="{0B596474-EC00-49D7-A3FF-DB1D44074B5E}">
      <text>
        <r>
          <rPr>
            <sz val="9"/>
            <color indexed="81"/>
            <rFont val="Tahoma"/>
            <charset val="1"/>
          </rPr>
          <t>Source: LiST</t>
        </r>
      </text>
    </comment>
    <comment ref="C31" authorId="0" shapeId="0" xr:uid="{10CA985E-46F4-4DEE-86B3-6C870C405C14}">
      <text>
        <r>
          <rPr>
            <sz val="9"/>
            <color indexed="81"/>
            <rFont val="Tahoma"/>
            <charset val="1"/>
          </rPr>
          <t>Source: LiST</t>
        </r>
      </text>
    </comment>
    <comment ref="C32" authorId="0" shapeId="0" xr:uid="{C74D8620-1DDF-4B2B-9C09-E41728D14AD2}">
      <text>
        <r>
          <rPr>
            <sz val="9"/>
            <color indexed="81"/>
            <rFont val="Tahoma"/>
            <charset val="1"/>
          </rPr>
          <t>Source: LiST</t>
        </r>
      </text>
    </comment>
    <comment ref="C37" authorId="0" shapeId="0" xr:uid="{C34B8E43-6863-4A52-AA74-C5F11DD39246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38" authorId="0" shapeId="0" xr:uid="{0159A7ED-6B2B-44ED-B162-0537DF90760F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39" authorId="0" shapeId="0" xr:uid="{D36CB179-5517-45F7-9365-7225257A28D4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40" authorId="0" shapeId="0" xr:uid="{DAADA96E-B70F-4A74-8E86-94FCED36D2CD}">
      <text>
        <r>
          <rPr>
            <sz val="9"/>
            <color indexed="81"/>
            <rFont val="Tahoma"/>
            <charset val="1"/>
          </rPr>
          <t>Source: UNICEF Data (2015) (Country level)</t>
        </r>
      </text>
    </comment>
    <comment ref="C41" authorId="0" shapeId="0" xr:uid="{A357CFC7-C93C-42B6-BC7E-196D39BD8A5E}">
      <text>
        <r>
          <rPr>
            <sz val="9"/>
            <color indexed="81"/>
            <rFont val="Tahoma"/>
            <charset val="1"/>
          </rPr>
          <t>Source: LiST</t>
        </r>
      </text>
    </comment>
    <comment ref="C42" authorId="0" shapeId="0" xr:uid="{46CA1C20-BB91-4784-B9B5-4C5A647BBE2B}">
      <text>
        <r>
          <rPr>
            <sz val="9"/>
            <color indexed="81"/>
            <rFont val="Tahoma"/>
            <charset val="1"/>
          </rPr>
          <t>Source: WHO Global Health Observatory (2015) (Country level)</t>
        </r>
      </text>
    </comment>
    <comment ref="C45" authorId="0" shapeId="0" xr:uid="{D6207628-2420-4AA8-8E29-4D03020B555B}">
      <text>
        <r>
          <rPr>
            <sz val="9"/>
            <color indexed="81"/>
            <rFont val="Tahoma"/>
            <charset val="1"/>
          </rPr>
          <t>Source: LiST</t>
        </r>
      </text>
    </comment>
    <comment ref="C46" authorId="0" shapeId="0" xr:uid="{FF3CFDFD-519B-403D-8530-1C16098FB56E}">
      <text>
        <r>
          <rPr>
            <sz val="9"/>
            <color indexed="81"/>
            <rFont val="Tahoma"/>
            <charset val="1"/>
          </rPr>
          <t>Source: LiST</t>
        </r>
      </text>
    </comment>
    <comment ref="C47" authorId="0" shapeId="0" xr:uid="{24410C9C-3921-4557-822A-C72F141D78FD}">
      <text>
        <r>
          <rPr>
            <sz val="9"/>
            <color indexed="81"/>
            <rFont val="Tahoma"/>
            <charset val="1"/>
          </rPr>
          <t>Source: LiST</t>
        </r>
      </text>
    </comment>
    <comment ref="C51" authorId="0" shapeId="0" xr:uid="{E7EC838A-6766-44EA-80BA-4BEF5C2CE9A5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2" authorId="0" shapeId="0" xr:uid="{0FF4254B-2372-4548-A443-0826D1A2AFEE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3" authorId="0" shapeId="0" xr:uid="{49F16DD8-5034-4BA5-96B7-2F3656FF5CD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4" authorId="0" shapeId="0" xr:uid="{7E66B7D4-A5D1-4520-B6B1-58C8E78C70E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5" authorId="0" shapeId="0" xr:uid="{D8BBAFCA-5420-4DF4-A329-8D54E1266F41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8" authorId="0" shapeId="0" xr:uid="{AB2F35AE-FF9C-4B12-8396-926809DFE1F5}">
      <text>
        <r>
          <rPr>
            <sz val="9"/>
            <color indexed="81"/>
            <rFont val="Tahoma"/>
            <charset val="1"/>
          </rPr>
          <t>Source: Global burden of childhood pneumonia and diarrhoea &lt;https://www.sciencedirect.com/science/article/pii/S0140673613602226?via%3Dihub&gt; (Region level)</t>
        </r>
      </text>
    </comment>
    <comment ref="C59" authorId="0" shapeId="0" xr:uid="{7DFE41AD-C21A-4A14-9617-D8D509F90675}">
      <text>
        <r>
          <rPr>
            <sz val="9"/>
            <color indexed="81"/>
            <rFont val="Tahoma"/>
            <charset val="1"/>
          </rPr>
          <t>Source: LiST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B2" authorId="0" shapeId="0" xr:uid="{291214EF-515F-4FC4-A102-36E330FA312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2" authorId="0" shapeId="0" xr:uid="{E2779694-24E0-475F-97A5-33CCED91300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2" authorId="0" shapeId="0" xr:uid="{AB29DA92-D144-483F-9E92-15E5E32DDE3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2" authorId="0" shapeId="0" xr:uid="{0ED9423E-A66B-4B46-A17D-0CF82FCDA8F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2" authorId="0" shapeId="0" xr:uid="{48C3A6BA-29A4-46C8-9C5C-F447F6E98CD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3" authorId="0" shapeId="0" xr:uid="{8319F38B-EEE1-47BC-8195-3E9C789847B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3" authorId="0" shapeId="0" xr:uid="{7E3DDCD2-6769-4192-8E92-6695680DAF1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3" authorId="0" shapeId="0" xr:uid="{9CC94450-2EFE-4ACC-B866-2379D04880F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3" authorId="0" shapeId="0" xr:uid="{3125866F-6F45-406C-80A0-C2797B09668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3" authorId="0" shapeId="0" xr:uid="{662F1242-5E74-4429-A318-2C75A773D30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4" authorId="0" shapeId="0" xr:uid="{8A422767-8C6D-46FA-9358-6329B646624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4" authorId="0" shapeId="0" xr:uid="{2A4BFCE7-3A88-4D38-ACC3-ABF6B7D0D82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4" authorId="0" shapeId="0" xr:uid="{E0C3F7E5-D142-4145-AD04-C1B0DBB468C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4" authorId="0" shapeId="0" xr:uid="{9AF3FE34-3BF0-4C30-B419-2A6AF427954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4" authorId="0" shapeId="0" xr:uid="{822274A9-4B86-4BA8-9AE5-4D040602927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5" authorId="0" shapeId="0" xr:uid="{86AE9308-39D1-4242-BFCD-EFC3E58CD2B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5" authorId="0" shapeId="0" xr:uid="{4522BD6D-9D97-474C-8D0E-B52D2253E31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5" authorId="0" shapeId="0" xr:uid="{111C690E-51CF-46B4-ABAD-002FD786591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5" authorId="0" shapeId="0" xr:uid="{C6B6AD68-293A-4AF0-9E38-1F370AF1F88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5" authorId="0" shapeId="0" xr:uid="{762AA7EA-0240-4D38-8210-6A81A30450F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6" authorId="0" shapeId="0" xr:uid="{0C3782BA-C465-400C-8636-4CC9AFE0A86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6" authorId="0" shapeId="0" xr:uid="{B515DB94-C135-47F5-94A2-9D94FB80B4A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6" authorId="0" shapeId="0" xr:uid="{3BF18027-1405-4C7B-B942-6254AB7D470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6" authorId="0" shapeId="0" xr:uid="{7BB6DDFB-5FF1-4572-B030-1BD01610406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6" authorId="0" shapeId="0" xr:uid="{537090C4-9C0F-4B8E-9C9C-8EA5B1A110F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7" authorId="0" shapeId="0" xr:uid="{D2D9131C-0FD3-409A-8874-A2BF41F62CF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7" authorId="0" shapeId="0" xr:uid="{AC445CE5-B6AD-467E-8BA5-46354430CA3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7" authorId="0" shapeId="0" xr:uid="{7D888976-1FE0-4E94-BA6E-C35E6B7E7B7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7" authorId="0" shapeId="0" xr:uid="{B43A7AC0-2CF0-4918-8AF3-076D53E1AB6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7" authorId="0" shapeId="0" xr:uid="{F66A6346-C9FD-4F97-AE59-419E47825B4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8" authorId="0" shapeId="0" xr:uid="{5430DCB8-793C-465C-A42A-3063E3CAA96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8" authorId="0" shapeId="0" xr:uid="{42945C21-B76B-457E-A194-C98EA5E9AD4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8" authorId="0" shapeId="0" xr:uid="{99FAD65F-CA1A-4093-B10F-447966FB4A3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8" authorId="0" shapeId="0" xr:uid="{A57E810D-99B8-4840-97BE-04DC1D58F77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8" authorId="0" shapeId="0" xr:uid="{6A761829-18A6-4D40-AAC1-89A06895937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9" authorId="0" shapeId="0" xr:uid="{E50F2699-F17D-45D1-BE6E-97251B7DB3A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9" authorId="0" shapeId="0" xr:uid="{C0215D89-3B1C-418A-BE8A-C374949B375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9" authorId="0" shapeId="0" xr:uid="{DAAC391C-577B-4C31-A7F5-529D161C7A5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9" authorId="0" shapeId="0" xr:uid="{E0774B0C-7063-4DE4-9E22-402B6D0A8C7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9" authorId="0" shapeId="0" xr:uid="{E7A50D48-53A6-4D33-B818-E5978F2D6DF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0" authorId="0" shapeId="0" xr:uid="{4FE9FE4F-C71A-4B76-A626-AA716D5B4FF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0" authorId="0" shapeId="0" xr:uid="{4640FCBE-D919-458B-B1AA-B77C327BB43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0" authorId="0" shapeId="0" xr:uid="{7706F902-C692-432F-86B4-31BC34F6261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0" authorId="0" shapeId="0" xr:uid="{E9F9820E-00D7-4D6F-A263-DD93739EB4E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0" authorId="0" shapeId="0" xr:uid="{9B26C362-D514-43FD-B3CE-E479EF75939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1" authorId="0" shapeId="0" xr:uid="{193A0E46-8084-426B-8B7B-F2E9ED6F731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1" authorId="0" shapeId="0" xr:uid="{BD71D2AA-2CEC-442C-BE5A-403F23B3EF6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1" authorId="0" shapeId="0" xr:uid="{7948E54A-296F-46DF-97D9-0B02AC39232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1" authorId="0" shapeId="0" xr:uid="{0F64E2EE-4159-45B3-93F9-B26971DB74B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1" authorId="0" shapeId="0" xr:uid="{C763C284-6A3A-4CF3-AE6D-FBA512134B5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2" authorId="0" shapeId="0" xr:uid="{526E49BB-BD6A-4A36-AC41-328B01AF20D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2" authorId="0" shapeId="0" xr:uid="{267DB940-A4AC-45CE-A537-3AB7496C560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2" authorId="0" shapeId="0" xr:uid="{6D4410ED-F6FA-488D-9F5C-B99100A08FE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2" authorId="0" shapeId="0" xr:uid="{0BF32619-28A1-4796-8059-B80FC5543B4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2" authorId="0" shapeId="0" xr:uid="{6458DF54-8BF7-4ECF-88D8-A4709A876DB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3" authorId="0" shapeId="0" xr:uid="{3D21D10A-FC60-4D09-88E7-D3CCE4AD4EF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3" authorId="0" shapeId="0" xr:uid="{5887DED5-A098-4E7D-86E8-1D65A9B5828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3" authorId="0" shapeId="0" xr:uid="{B5038025-7939-4FF1-B4EF-41393FFF741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3" authorId="0" shapeId="0" xr:uid="{232A000F-4A94-4992-B893-E95BE7E45E2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3" authorId="0" shapeId="0" xr:uid="{4877DD2D-4C8C-433C-AF42-165C3EDD221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4" authorId="0" shapeId="0" xr:uid="{9D157439-4464-4801-BC0E-DB45E463CD1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4" authorId="0" shapeId="0" xr:uid="{3AECB9EC-CEF9-4FAD-927A-287D6F93D0A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4" authorId="0" shapeId="0" xr:uid="{44A75168-EEED-4A26-BB7F-D6C772A8CF3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4" authorId="0" shapeId="0" xr:uid="{CFEF1B6A-BCA1-4F89-AE37-917B84494D1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4" authorId="0" shapeId="0" xr:uid="{EC3315D6-CEB0-4476-B722-39F6B76D942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5" authorId="0" shapeId="0" xr:uid="{1AD8535D-45B7-4965-9C77-3BC84178B30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5" authorId="0" shapeId="0" xr:uid="{D03A1118-139A-4686-9ECD-B31F6DB9DCC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5" authorId="0" shapeId="0" xr:uid="{5ABA07FA-712D-44B6-9A71-8E8D98769B3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5" authorId="0" shapeId="0" xr:uid="{581DFF45-0B7F-4FAE-8CF5-13938D6F5A4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5" authorId="0" shapeId="0" xr:uid="{0EB42063-A75C-4A70-93B2-06C7EC54A27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3" authorId="0" shapeId="0" xr:uid="{48DEC733-8B81-4977-A2C9-1F75D4AD5F4E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4" authorId="0" shapeId="0" xr:uid="{25F19DD3-2E6B-4323-842B-418086F1C1A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" authorId="0" shapeId="0" xr:uid="{A2B3469D-CD4D-4DE9-B756-0D669499E67A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6" authorId="0" shapeId="0" xr:uid="{3E0F9FED-64D0-4EF0-BE16-6D266B931C0B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7" authorId="0" shapeId="0" xr:uid="{13161D92-571C-40F7-B61D-7711F01039C5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8" authorId="0" shapeId="0" xr:uid="{FC3816BB-A1F6-4FE4-B341-EC0C2CB4B212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9" authorId="0" shapeId="0" xr:uid="{FF381E5B-A1A4-4AC2-AB8A-D4A9C6D5DEB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10" authorId="0" shapeId="0" xr:uid="{636A88FE-CCE5-4AAA-92F2-57D61BE6D5A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14" authorId="0" shapeId="0" xr:uid="{583B275E-617D-40D0-BF4C-EA94411AFC48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4" authorId="0" shapeId="0" xr:uid="{42EF721B-E0A1-49A3-B389-F1E183274BF2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4" authorId="0" shapeId="0" xr:uid="{127F9340-205B-4FF9-A60F-9A7B1A8125BD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4" authorId="0" shapeId="0" xr:uid="{DF9C49A8-DCEA-4178-B3A3-DE8CE9682426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5" authorId="0" shapeId="0" xr:uid="{3C1588E8-6F75-49FE-9B0B-F0D13ABEC862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5" authorId="0" shapeId="0" xr:uid="{CD1536D7-0127-4983-B08C-7224A4E44F95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5" authorId="0" shapeId="0" xr:uid="{0A1E1531-F528-4D82-B18A-222397944F4B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5" authorId="0" shapeId="0" xr:uid="{E54409F4-BE1E-4470-AEC9-CEE609FBB181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6" authorId="0" shapeId="0" xr:uid="{77E7E1BF-7FDE-4E5A-8BEA-E4E7EE923A69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6" authorId="0" shapeId="0" xr:uid="{781B9230-1FF9-4916-B69A-8ABF5A2D5EF1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6" authorId="0" shapeId="0" xr:uid="{D73A6E31-A690-40F5-8DDD-4F236A228EA5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6" authorId="0" shapeId="0" xr:uid="{2751E3A8-AEEC-40D8-A283-F4D405FEB72E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7" authorId="0" shapeId="0" xr:uid="{893F1A79-EED7-4A71-AABD-23C765741A38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7" authorId="0" shapeId="0" xr:uid="{4C3F19ED-E247-437C-9B7F-A8FBF60FF5F9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7" authorId="0" shapeId="0" xr:uid="{0E77CD8D-A2BC-4258-938F-8F052FBFE1E8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7" authorId="0" shapeId="0" xr:uid="{CAC65D9D-F508-4FAF-801A-C6C5C3E3FD51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8" authorId="0" shapeId="0" xr:uid="{FB1557ED-DA4F-4341-A164-E72A7D841CF9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8" authorId="0" shapeId="0" xr:uid="{88534A52-BE04-4042-8FE8-4F338246BEB4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8" authorId="0" shapeId="0" xr:uid="{27B7ED69-27A6-4FC5-BD5D-8D383F9E245A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8" authorId="0" shapeId="0" xr:uid="{A9A0FEE2-80EB-4501-8F31-0DF8B5A1FBA8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9" authorId="0" shapeId="0" xr:uid="{24A27A60-3DA0-42B8-8391-750C85D2E7AE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9" authorId="0" shapeId="0" xr:uid="{BB56EE02-B6BC-465A-9ED9-08ECA27BEFB7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9" authorId="0" shapeId="0" xr:uid="{9341EBE0-5BD3-4441-B6FA-0E4A4D787189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9" authorId="0" shapeId="0" xr:uid="{E313CB89-614E-492E-9A98-1D1F37FAC5DB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0" authorId="0" shapeId="0" xr:uid="{A3166A17-8007-4831-AFD0-3C80FEDEC89A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20" authorId="0" shapeId="0" xr:uid="{20EF764F-6E3B-4091-A847-691C03766BD1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20" authorId="0" shapeId="0" xr:uid="{D1D30215-E803-41EA-8467-88C0E0F6F524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20" authorId="0" shapeId="0" xr:uid="{099AF7E9-FDC1-48A6-B998-006CEC958635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1" authorId="0" shapeId="0" xr:uid="{571F4BFE-061F-4ACE-8F70-CBFE611C811F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21" authorId="0" shapeId="0" xr:uid="{F76095E9-A4E3-4122-B9B0-07CDA2C5B17D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21" authorId="0" shapeId="0" xr:uid="{D8D60EF1-DD1E-4846-BAE2-14ED34B9E08E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21" authorId="0" shapeId="0" xr:uid="{397635B0-A9D2-4176-A57F-CDEF18BECE2B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2" authorId="0" shapeId="0" xr:uid="{38DD0257-2A33-47D8-9F7F-136EDDB8E5DA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22" authorId="0" shapeId="0" xr:uid="{0D3CD537-5233-429D-9F20-62929661E5DE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22" authorId="0" shapeId="0" xr:uid="{DDD550A2-F404-42D6-8E79-CBF396D79180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22" authorId="0" shapeId="0" xr:uid="{9C729D04-B366-43BD-9A30-8E89C3985B89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6" authorId="0" shapeId="0" xr:uid="{D3A2F152-E70C-464F-8F0B-5C0D32FF214D}">
      <text>
        <r>
          <rPr>
            <sz val="9"/>
            <color indexed="81"/>
            <rFont val="Tahoma"/>
            <charset val="1"/>
          </rPr>
          <t>Source: LiST</t>
        </r>
      </text>
    </comment>
    <comment ref="C27" authorId="0" shapeId="0" xr:uid="{A0FD1BF4-7DB0-4A2C-8DBC-39E967831762}">
      <text>
        <r>
          <rPr>
            <sz val="9"/>
            <color indexed="81"/>
            <rFont val="Tahoma"/>
            <charset val="1"/>
          </rPr>
          <t>Source: LiST</t>
        </r>
      </text>
    </comment>
    <comment ref="C28" authorId="0" shapeId="0" xr:uid="{2DFA8760-22D8-44B2-8CF3-A667E96E0ECB}">
      <text>
        <r>
          <rPr>
            <sz val="9"/>
            <color indexed="81"/>
            <rFont val="Tahoma"/>
            <charset val="1"/>
          </rPr>
          <t>Source: LiST</t>
        </r>
      </text>
    </comment>
    <comment ref="C29" authorId="0" shapeId="0" xr:uid="{943BFB49-4BF7-4383-A881-7859DB100B44}">
      <text>
        <r>
          <rPr>
            <sz val="9"/>
            <color indexed="81"/>
            <rFont val="Tahoma"/>
            <charset val="1"/>
          </rPr>
          <t>Source: LiST</t>
        </r>
      </text>
    </comment>
    <comment ref="C30" authorId="0" shapeId="0" xr:uid="{7ADAC49F-1304-4797-9342-158157A3E7AC}">
      <text>
        <r>
          <rPr>
            <sz val="9"/>
            <color indexed="81"/>
            <rFont val="Tahoma"/>
            <charset val="1"/>
          </rPr>
          <t>Source: LiST</t>
        </r>
      </text>
    </comment>
    <comment ref="C31" authorId="0" shapeId="0" xr:uid="{BFAB44C6-F2DA-4FF1-8A0F-2C5423D02F22}">
      <text>
        <r>
          <rPr>
            <sz val="9"/>
            <color indexed="81"/>
            <rFont val="Tahoma"/>
            <charset val="1"/>
          </rPr>
          <t>Source: LiST</t>
        </r>
      </text>
    </comment>
    <comment ref="C32" authorId="0" shapeId="0" xr:uid="{F45E8C7B-8EB2-4C92-9318-A0CFD07910CF}">
      <text>
        <r>
          <rPr>
            <sz val="9"/>
            <color indexed="81"/>
            <rFont val="Tahoma"/>
            <charset val="1"/>
          </rPr>
          <t>Source: LiST</t>
        </r>
      </text>
    </comment>
    <comment ref="C33" authorId="0" shapeId="0" xr:uid="{BFF0511B-29CE-4461-A65D-F9C581AA2B71}">
      <text>
        <r>
          <rPr>
            <sz val="9"/>
            <color indexed="81"/>
            <rFont val="Tahoma"/>
            <charset val="1"/>
          </rPr>
          <t>Source: LiST</t>
        </r>
      </text>
    </comment>
    <comment ref="C34" authorId="0" shapeId="0" xr:uid="{C4EC7259-1586-422B-A89F-B9FF57693631}">
      <text>
        <r>
          <rPr>
            <sz val="9"/>
            <color indexed="81"/>
            <rFont val="Tahoma"/>
            <charset val="1"/>
          </rPr>
          <t>Source: 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2" authorId="0" shapeId="0" xr:uid="{3EBB3A36-2D89-4AFE-854D-52963E9CF375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2" authorId="0" shapeId="0" xr:uid="{27BFFC14-3415-4502-84C3-2371876095ED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2" authorId="0" shapeId="0" xr:uid="{2BE4D266-C369-459B-94FE-715D2A10404E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2" authorId="0" shapeId="0" xr:uid="{E5227DA5-A053-4F3D-BBC7-1DF485FC589B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2" authorId="0" shapeId="0" xr:uid="{3C13050E-7B77-4EDD-80BF-4CCF3E2AAD34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3" authorId="0" shapeId="0" xr:uid="{C2159CA0-D59A-4BC2-A275-66C2C9D79186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3" authorId="0" shapeId="0" xr:uid="{74F7FF65-F50B-453D-90B4-CBB30510C517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3" authorId="0" shapeId="0" xr:uid="{0CD4F62F-BF36-4439-A5FE-FFE5BFB4D520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3" authorId="0" shapeId="0" xr:uid="{7FDB23AB-3591-4287-94A9-FC21F427782F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3" authorId="0" shapeId="0" xr:uid="{11C50C45-3D91-4E83-A9E0-535224A8DECB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4" authorId="0" shapeId="0" xr:uid="{404ED809-EE1E-4353-8D40-1A084BF00846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4" authorId="0" shapeId="0" xr:uid="{0235080E-5DC3-4725-9951-BA08E1A80664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4" authorId="0" shapeId="0" xr:uid="{316C77AB-A056-447C-B781-6F973209964C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4" authorId="0" shapeId="0" xr:uid="{F8919F06-18F2-47B3-90DD-80EF1DE12EFD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4" authorId="0" shapeId="0" xr:uid="{04B47CA4-C261-4C60-A45A-8822F221FED8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5" authorId="0" shapeId="0" xr:uid="{913C2CE2-0DE0-4EC3-A647-C7069C4C6FBA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5" authorId="0" shapeId="0" xr:uid="{09C95B3F-C86D-42D3-8169-9A3FE9D1800C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5" authorId="0" shapeId="0" xr:uid="{B2B95E92-03FE-4169-A163-2B5B06B6A98C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5" authorId="0" shapeId="0" xr:uid="{3D929E03-27FF-4030-928F-73198FD1D265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5" authorId="0" shapeId="0" xr:uid="{CAE2C321-70DF-4BE2-9BD6-116320641329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8" authorId="0" shapeId="0" xr:uid="{C74BD4DD-6810-4333-B8ED-6C707D25D7D1}">
      <text>
        <r>
          <rPr>
            <sz val="9"/>
            <color indexed="81"/>
            <rFont val="Tahoma"/>
            <charset val="1"/>
          </rPr>
          <t>Source: Dom Delport:
DHS/LiST</t>
        </r>
      </text>
    </comment>
    <comment ref="D8" authorId="0" shapeId="0" xr:uid="{A087B664-9F2A-405B-BCDC-6CB57AEF749C}">
      <text>
        <r>
          <rPr>
            <sz val="9"/>
            <color indexed="81"/>
            <rFont val="Tahoma"/>
            <charset val="1"/>
          </rPr>
          <t>Source: Dom Delport:
DHS/LiST</t>
        </r>
      </text>
    </comment>
    <comment ref="E8" authorId="0" shapeId="0" xr:uid="{F27422F5-6B29-4C25-8079-04DA8E3ED55C}">
      <text>
        <r>
          <rPr>
            <sz val="9"/>
            <color indexed="81"/>
            <rFont val="Tahoma"/>
            <charset val="1"/>
          </rPr>
          <t>Source: Dom Delport:
DHS/LiST</t>
        </r>
      </text>
    </comment>
    <comment ref="F8" authorId="0" shapeId="0" xr:uid="{B22603D4-33F1-4407-95A5-85A36BC73980}">
      <text>
        <r>
          <rPr>
            <sz val="9"/>
            <color indexed="81"/>
            <rFont val="Tahoma"/>
            <charset val="1"/>
          </rPr>
          <t>Source: Dom Delport:
DHS/LiST</t>
        </r>
      </text>
    </comment>
    <comment ref="G8" authorId="0" shapeId="0" xr:uid="{BBB409E3-2F7D-40D5-815A-452603769CCD}">
      <text>
        <r>
          <rPr>
            <sz val="9"/>
            <color indexed="81"/>
            <rFont val="Tahoma"/>
            <charset val="1"/>
          </rPr>
          <t>Source: Dom Delport:
DHS/LiST</t>
        </r>
      </text>
    </comment>
    <comment ref="C9" authorId="0" shapeId="0" xr:uid="{EC8D5563-0508-4818-8C62-08D27F9B14F9}">
      <text>
        <r>
          <rPr>
            <sz val="9"/>
            <color indexed="81"/>
            <rFont val="Tahoma"/>
            <charset val="1"/>
          </rPr>
          <t>Source: Dom Delport:
DHS/LiST</t>
        </r>
      </text>
    </comment>
    <comment ref="D9" authorId="0" shapeId="0" xr:uid="{554DE287-B788-4254-8B9F-99C2DB195824}">
      <text>
        <r>
          <rPr>
            <sz val="9"/>
            <color indexed="81"/>
            <rFont val="Tahoma"/>
            <charset val="1"/>
          </rPr>
          <t>Source: Dom Delport:
DHS/LiST</t>
        </r>
      </text>
    </comment>
    <comment ref="E9" authorId="0" shapeId="0" xr:uid="{3B2C2C41-7D94-46EF-A4E0-F8D93B8B7210}">
      <text>
        <r>
          <rPr>
            <sz val="9"/>
            <color indexed="81"/>
            <rFont val="Tahoma"/>
            <charset val="1"/>
          </rPr>
          <t>Source: Dom Delport:
DHS/LiST</t>
        </r>
      </text>
    </comment>
    <comment ref="F9" authorId="0" shapeId="0" xr:uid="{F17DA84A-5AB2-4F38-A98A-8AAB89D2167E}">
      <text>
        <r>
          <rPr>
            <sz val="9"/>
            <color indexed="81"/>
            <rFont val="Tahoma"/>
            <charset val="1"/>
          </rPr>
          <t>Source: Dom Delport:
DHS/LiST</t>
        </r>
      </text>
    </comment>
    <comment ref="G9" authorId="0" shapeId="0" xr:uid="{364CABB4-F2BC-45BB-853D-6C80F6487DEF}">
      <text>
        <r>
          <rPr>
            <sz val="9"/>
            <color indexed="81"/>
            <rFont val="Tahoma"/>
            <charset val="1"/>
          </rPr>
          <t>Source: Dom Delport:
DHS/LiST</t>
        </r>
      </text>
    </comment>
    <comment ref="C10" authorId="0" shapeId="0" xr:uid="{1C9F1202-5421-415A-B186-B55C3F1FCFED}">
      <text>
        <r>
          <rPr>
            <sz val="9"/>
            <color indexed="81"/>
            <rFont val="Tahoma"/>
            <charset val="1"/>
          </rPr>
          <t>Source: Dom Delport:
DHS/LiST</t>
        </r>
      </text>
    </comment>
    <comment ref="D10" authorId="0" shapeId="0" xr:uid="{D0EC9A48-6DA4-4775-B2C2-281CDC6F4075}">
      <text>
        <r>
          <rPr>
            <sz val="9"/>
            <color indexed="81"/>
            <rFont val="Tahoma"/>
            <charset val="1"/>
          </rPr>
          <t>Source: Dom Delport:
DHS/LiST</t>
        </r>
      </text>
    </comment>
    <comment ref="E10" authorId="0" shapeId="0" xr:uid="{72E7D655-C217-4845-8A31-1DAA9EF7B34F}">
      <text>
        <r>
          <rPr>
            <sz val="9"/>
            <color indexed="81"/>
            <rFont val="Tahoma"/>
            <charset val="1"/>
          </rPr>
          <t>Source: Dom Delport:
DHS/LiST</t>
        </r>
      </text>
    </comment>
    <comment ref="F10" authorId="0" shapeId="0" xr:uid="{124765C6-4A5C-45FE-8199-55728B8F83CB}">
      <text>
        <r>
          <rPr>
            <sz val="9"/>
            <color indexed="81"/>
            <rFont val="Tahoma"/>
            <charset val="1"/>
          </rPr>
          <t>Source: Dom Delport:
DHS/LiST</t>
        </r>
      </text>
    </comment>
    <comment ref="G10" authorId="0" shapeId="0" xr:uid="{4FADC9A8-ED11-4889-9050-3EF1E7540A03}">
      <text>
        <r>
          <rPr>
            <sz val="9"/>
            <color indexed="81"/>
            <rFont val="Tahoma"/>
            <charset val="1"/>
          </rPr>
          <t>Source: Dom Delport:
DHS/LiST</t>
        </r>
      </text>
    </comment>
    <comment ref="C11" authorId="0" shapeId="0" xr:uid="{F26F7BFD-B6FF-4002-8A20-63FAF8EAEE69}">
      <text>
        <r>
          <rPr>
            <sz val="9"/>
            <color indexed="81"/>
            <rFont val="Tahoma"/>
            <charset val="1"/>
          </rPr>
          <t>Source: Dom Delport:
DHS/LiST</t>
        </r>
      </text>
    </comment>
    <comment ref="D11" authorId="0" shapeId="0" xr:uid="{6212810B-137D-4E47-931F-D3B897EE8F80}">
      <text>
        <r>
          <rPr>
            <sz val="9"/>
            <color indexed="81"/>
            <rFont val="Tahoma"/>
            <charset val="1"/>
          </rPr>
          <t>Source: Dom Delport:
DHS/LiST</t>
        </r>
      </text>
    </comment>
    <comment ref="E11" authorId="0" shapeId="0" xr:uid="{31D21E6A-9C28-4367-8575-6A2982163E16}">
      <text>
        <r>
          <rPr>
            <sz val="9"/>
            <color indexed="81"/>
            <rFont val="Tahoma"/>
            <charset val="1"/>
          </rPr>
          <t>Source: Dom Delport:
DHS/LiST</t>
        </r>
      </text>
    </comment>
    <comment ref="F11" authorId="0" shapeId="0" xr:uid="{4710949C-54C6-4A74-8000-8FDB1AD60D8E}">
      <text>
        <r>
          <rPr>
            <sz val="9"/>
            <color indexed="81"/>
            <rFont val="Tahoma"/>
            <charset val="1"/>
          </rPr>
          <t>Source: Dom Delport:
DHS/LiST</t>
        </r>
      </text>
    </comment>
    <comment ref="G11" authorId="0" shapeId="0" xr:uid="{6226CA12-1E0A-4ECC-B012-81A1D164D65A}">
      <text>
        <r>
          <rPr>
            <sz val="9"/>
            <color indexed="81"/>
            <rFont val="Tahoma"/>
            <charset val="1"/>
          </rPr>
          <t>Source: Dom Delport:
DHS/LiST</t>
        </r>
      </text>
    </comment>
    <comment ref="C14" authorId="0" shapeId="0" xr:uid="{AE4670A7-D917-4C2D-9EB6-24526FFE73A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14" authorId="0" shapeId="0" xr:uid="{8DD5E265-3F45-4249-AF54-494B9B068F08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4" authorId="0" shapeId="0" xr:uid="{3FC98CCB-1CF4-43A0-BD60-1F1F6685270F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F14" authorId="0" shapeId="0" xr:uid="{8209DA2C-DFD5-4257-9642-0A77FB87CBCE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G14" authorId="0" shapeId="0" xr:uid="{3C844CDC-A62C-4DE9-9D82-64B4DC80CC43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H14" authorId="0" shapeId="0" xr:uid="{85A92B53-69E0-4C97-8716-BB0CBABACD2A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I14" authorId="0" shapeId="0" xr:uid="{41A60453-E4BB-4C58-A45D-8F4E35C87903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J14" authorId="0" shapeId="0" xr:uid="{768B61E1-DA11-415D-B57E-7C29EDEEF06E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K14" authorId="0" shapeId="0" xr:uid="{520F611F-7FCB-4DA8-BD02-FBE1B036019A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L14" authorId="0" shapeId="0" xr:uid="{7881FD32-BFBD-4CA2-968B-EB79B344A4F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14" authorId="0" shapeId="0" xr:uid="{7E2928E9-11D4-47F5-85F5-4D07702F05ED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14" authorId="0" shapeId="0" xr:uid="{462EAC2A-E4EA-4DE9-B8C0-93584F9170F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14" authorId="0" shapeId="0" xr:uid="{6F0A7B49-8B92-4B45-A52E-C98CBE08254E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  <author>Dominic Delport</author>
  </authors>
  <commentList>
    <comment ref="C2" authorId="0" shapeId="0" xr:uid="{14A55F6B-289E-466B-98FC-F1332D5FC8B9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D2" authorId="0" shapeId="0" xr:uid="{EA8663B8-5EF4-497A-BB72-56144E09EF47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G2" authorId="1" shapeId="0" xr:uid="{6B0A09E8-7C93-4372-8C15-8B0F45D5AEFD}">
      <text>
        <r>
          <rPr>
            <sz val="9"/>
            <color indexed="81"/>
            <rFont val="Tahoma"/>
            <family val="2"/>
          </rPr>
          <t xml:space="preserve">No data available
</t>
        </r>
      </text>
    </comment>
    <comment ref="C3" authorId="0" shapeId="0" xr:uid="{BCCAACA2-587A-4390-B945-F62924C8F16C}">
      <text>
        <r>
          <rPr>
            <sz val="9"/>
            <color indexed="81"/>
            <rFont val="Tahoma"/>
            <charset val="1"/>
          </rPr>
          <t>Source: LiST</t>
        </r>
      </text>
    </comment>
    <comment ref="D3" authorId="0" shapeId="0" xr:uid="{950A362F-9A8E-44A7-AD67-B17056B56AE7}">
      <text>
        <r>
          <rPr>
            <sz val="9"/>
            <color indexed="81"/>
            <rFont val="Tahoma"/>
            <charset val="1"/>
          </rPr>
          <t>Source: LiST</t>
        </r>
      </text>
    </comment>
    <comment ref="G3" authorId="1" shapeId="0" xr:uid="{F82038E1-BF1B-4424-AEC2-4BAF11F0EBE0}">
      <text>
        <r>
          <rPr>
            <sz val="9"/>
            <color indexed="81"/>
            <rFont val="Tahoma"/>
            <family val="2"/>
          </rPr>
          <t xml:space="preserve">No data available
</t>
        </r>
      </text>
    </comment>
    <comment ref="C4" authorId="0" shapeId="0" xr:uid="{1E7D19CA-F237-4742-B9A5-B1E25B715B87}">
      <text>
        <r>
          <rPr>
            <sz val="9"/>
            <color indexed="81"/>
            <rFont val="Tahoma"/>
            <charset val="1"/>
          </rPr>
          <t>Source: LiST/DHS (Country level)</t>
        </r>
      </text>
    </comment>
    <comment ref="D4" authorId="0" shapeId="0" xr:uid="{6052AD12-B232-4BD1-BA52-D66C98D21924}">
      <text>
        <r>
          <rPr>
            <sz val="9"/>
            <color indexed="81"/>
            <rFont val="Tahoma"/>
            <charset val="1"/>
          </rPr>
          <t>Source: LiST/DHS (Country level)</t>
        </r>
      </text>
    </comment>
    <comment ref="E4" authorId="0" shapeId="0" xr:uid="{D5EF4864-9464-45AE-99F4-F93ED5D749E7}">
      <text>
        <r>
          <rPr>
            <sz val="9"/>
            <color indexed="81"/>
            <rFont val="Tahoma"/>
            <charset val="1"/>
          </rPr>
          <t>Source: LiST/DHS (Country level)</t>
        </r>
      </text>
    </comment>
    <comment ref="F4" authorId="0" shapeId="0" xr:uid="{E13FD30B-F237-4993-BE20-F4A0033A437F}">
      <text>
        <r>
          <rPr>
            <sz val="9"/>
            <color indexed="81"/>
            <rFont val="Tahoma"/>
            <charset val="1"/>
          </rPr>
          <t>Source: LiST/DHS (Country level)</t>
        </r>
      </text>
    </comment>
    <comment ref="G4" authorId="1" shapeId="0" xr:uid="{FAE873A1-7BE6-4206-AB91-1C6BBEAAB062}">
      <text>
        <r>
          <rPr>
            <sz val="9"/>
            <color indexed="81"/>
            <rFont val="Tahoma"/>
            <family val="2"/>
          </rPr>
          <t xml:space="preserve">No data available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2" authorId="0" shapeId="0" xr:uid="{D8D6DD1D-5603-4B16-9E12-D2E38D69726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2" authorId="0" shapeId="0" xr:uid="{9A3A8B1C-4E1D-4779-A112-E886FC43DCC2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E2" authorId="0" shapeId="0" xr:uid="{C4654A05-E501-468A-AD23-2167A46B5B1C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F2" authorId="0" shapeId="0" xr:uid="{50EE9A41-98C3-48AB-BD56-80DE97B1E63E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G2" authorId="0" shapeId="0" xr:uid="{0709D329-FA2D-4D3C-B473-B3DAEDB5A0B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H2" authorId="0" shapeId="0" xr:uid="{A1B055F1-51E9-494D-9DD8-CF30F46B20DC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I2" authorId="0" shapeId="0" xr:uid="{80A5CF62-B1CE-403C-9A13-ACF5BDD9B15C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J2" authorId="0" shapeId="0" xr:uid="{36A1CA13-08AE-4C28-AEA2-6BC457F26692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K2" authorId="0" shapeId="0" xr:uid="{998DD66D-B95B-4012-874E-26E95D583F94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L2" authorId="0" shapeId="0" xr:uid="{130F3F05-6DD6-4300-8D95-0D049CA0FA44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2" authorId="0" shapeId="0" xr:uid="{399D7B2F-83A4-4F4B-A6EB-368B1FF628E8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2" authorId="0" shapeId="0" xr:uid="{A60AE94F-1E38-4C6A-AE1A-7A5E965DADBD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2" authorId="0" shapeId="0" xr:uid="{0DC6743E-8F08-4AA0-8270-6080E7BC1D82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P2" authorId="0" shapeId="0" xr:uid="{460159BB-A50C-43B6-AD59-A15737D095A1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4" authorId="0" shapeId="0" xr:uid="{AD79B016-F1F4-46F3-92C4-94173E6156CE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4" authorId="0" shapeId="0" xr:uid="{5D703FA1-12BC-4EDB-BF0C-6F98BBB54311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E4" authorId="0" shapeId="0" xr:uid="{8933CF55-3A2C-4294-9363-0AA45008848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F4" authorId="0" shapeId="0" xr:uid="{F97697D6-FBBD-4893-8BBD-0A2319744C6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G4" authorId="0" shapeId="0" xr:uid="{666D0F76-FF7B-4C15-AB71-8C157A961DA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H4" authorId="0" shapeId="0" xr:uid="{1256F7AE-332D-4420-9BBB-A0561C0EEBF5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I4" authorId="0" shapeId="0" xr:uid="{A5E24983-2E23-4995-B45A-5371D9F08D31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J4" authorId="0" shapeId="0" xr:uid="{A4BBD2A5-B5BA-44AD-BB92-E32A7FEDCEBC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K4" authorId="0" shapeId="0" xr:uid="{B574D52A-849A-4191-B5E9-A10889DD7401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L4" authorId="0" shapeId="0" xr:uid="{B3CDAE63-0A49-4B98-A4A6-FB476BE3BB82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4" authorId="0" shapeId="0" xr:uid="{4CFDFF2A-D464-4891-9DDC-3EEF48F70CCA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4" authorId="0" shapeId="0" xr:uid="{D972CA8A-BFE3-4772-B559-7A9801542F72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4" authorId="0" shapeId="0" xr:uid="{58F53BF5-2DE5-4416-B36D-C494A48BB8B8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P4" authorId="0" shapeId="0" xr:uid="{42DD9CE6-819F-4BA9-B270-231DE2C3E94A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13" authorId="0" shapeId="0" xr:uid="{0F62D6B7-723D-4F57-BB6F-604116B9067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13" authorId="0" shapeId="0" xr:uid="{2C6A40A3-26AA-49C0-94CE-65FA56C7C654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E13" authorId="0" shapeId="0" xr:uid="{D1AB8624-3CA5-48F2-9AB2-CB4617AF41A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F13" authorId="0" shapeId="0" xr:uid="{59DAAB61-64E9-4CDB-87F5-42DAC28C9695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G13" authorId="0" shapeId="0" xr:uid="{5AC8F74D-0E0D-4CC6-8D91-A5BE13B202B5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H13" authorId="0" shapeId="0" xr:uid="{7250DFC8-BDDD-49FF-9DA0-2599B1B72B9C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I13" authorId="0" shapeId="0" xr:uid="{8B5CCCD3-B91B-4F8F-9300-7B7F033A1C28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J13" authorId="0" shapeId="0" xr:uid="{9D9E1A95-DCD7-4248-83C0-85092AC5DF7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K13" authorId="0" shapeId="0" xr:uid="{BA42C293-4F07-4893-BB05-954955812F1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L13" authorId="0" shapeId="0" xr:uid="{A1619350-0AF5-42C9-B19F-49EF0E5B51F1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13" authorId="0" shapeId="0" xr:uid="{1E63961C-8795-4F6E-8978-1BBBDF6A05B1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13" authorId="0" shapeId="0" xr:uid="{0A870102-F0C1-4445-BFE7-4FD7A5A9F18B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13" authorId="0" shapeId="0" xr:uid="{3EBB7FF0-F44D-4615-92E2-7E1D149BB432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P13" authorId="0" shapeId="0" xr:uid="{3BAA6D4E-BE76-457A-9CF3-A319C4A01A6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B2" authorId="0" shapeId="0" xr:uid="{192EDBB5-85B0-472C-A021-69AC37A028C6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2" authorId="0" shapeId="0" xr:uid="{52CFEF66-F420-477E-B71E-C646985955D7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3" authorId="0" shapeId="0" xr:uid="{5CF399E2-52FD-40DD-ADF4-F9F7B58FBFB3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3" authorId="0" shapeId="0" xr:uid="{37485607-14BC-4470-AAB3-DB93F0911D74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D4" authorId="0" shapeId="0" xr:uid="{09EA8620-5CC5-499C-BE67-DF9C87BB4CE5}">
      <text>
        <r>
          <rPr>
            <sz val="9"/>
            <color indexed="81"/>
            <rFont val="Tahoma"/>
            <charset val="1"/>
          </rPr>
          <t>Source: 10% of GDP per capita</t>
        </r>
      </text>
    </comment>
    <comment ref="D5" authorId="0" shapeId="0" xr:uid="{8DE3DCC4-945A-41D9-910A-D760A29513E1}">
      <text>
        <r>
          <rPr>
            <sz val="9"/>
            <color indexed="81"/>
            <rFont val="Tahoma"/>
            <charset val="1"/>
          </rPr>
          <t>Source: Personnel wages based on 2016 GDP per capita and time requirements estimated by authors</t>
        </r>
      </text>
    </comment>
    <comment ref="B7" authorId="0" shapeId="0" xr:uid="{068C37E8-13A9-4EEB-8A4E-362C90976C79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7" authorId="0" shapeId="0" xr:uid="{ACC19908-3507-4474-A5BA-F24F0AF35A97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8" authorId="0" shapeId="0" xr:uid="{4A53C928-7039-4B12-9775-EEA095B707C2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8" authorId="0" shapeId="0" xr:uid="{D74123F9-627A-4042-89B0-3B6DB635B78B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9" authorId="0" shapeId="0" xr:uid="{C5171E24-708B-43E7-8242-A64324FEDF6D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9" authorId="0" shapeId="0" xr:uid="{376D0127-FD8D-4334-BC72-0866C02FA921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10" authorId="0" shapeId="0" xr:uid="{2DC74ED6-0FC3-4F3C-8782-3A0724210133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0" authorId="0" shapeId="0" xr:uid="{CCCE1A6F-BE1B-44DE-AE96-647E239B71C3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1" authorId="0" shapeId="0" xr:uid="{2542B6BC-0B8A-43FC-9009-DD3A32909D95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1" authorId="0" shapeId="0" xr:uid="{AE67D616-B9B3-4410-BB0B-E18C1A67BEB7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2" authorId="0" shapeId="0" xr:uid="{1CC04A15-315F-4026-9676-C9B163FA4C43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2" authorId="0" shapeId="0" xr:uid="{CD385B17-B09C-4DDD-B98C-3900BFC0C4D0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3" authorId="0" shapeId="0" xr:uid="{192637F6-AB66-42DA-A4AD-CFE0D8B55831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3" authorId="0" shapeId="0" xr:uid="{EB08EB2D-62C2-4735-BE25-81E0391F2167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4" authorId="0" shapeId="0" xr:uid="{C9F0476C-9227-4FC3-8150-FF121A0FA752}">
      <text>
        <r>
          <rPr>
            <sz val="9"/>
            <color indexed="81"/>
            <rFont val="Tahoma"/>
            <charset val="1"/>
          </rPr>
          <t>Source: LiST</t>
        </r>
      </text>
    </comment>
    <comment ref="D14" authorId="0" shapeId="0" xr:uid="{6B42F36D-D7C3-46F6-81DE-E6DF4FF54189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5" authorId="0" shapeId="0" xr:uid="{0BA1CB4B-9DCC-4895-8D2D-B65302E8AD11}">
      <text>
        <r>
          <rPr>
            <sz val="9"/>
            <color indexed="81"/>
            <rFont val="Tahoma"/>
            <charset val="1"/>
          </rPr>
          <t>Source: LiST</t>
        </r>
      </text>
    </comment>
    <comment ref="D15" authorId="0" shapeId="0" xr:uid="{45AB79E4-F7C9-411C-8231-55A61017BCA0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6" authorId="0" shapeId="0" xr:uid="{9E50222F-6777-4BA2-879C-E3C2E1E2EC7C}">
      <text>
        <r>
          <rPr>
            <sz val="9"/>
            <color indexed="81"/>
            <rFont val="Tahoma"/>
            <charset val="1"/>
          </rPr>
          <t>Source: LiST</t>
        </r>
      </text>
    </comment>
    <comment ref="D16" authorId="0" shapeId="0" xr:uid="{6F4C9431-886E-4BA4-8503-9CE5F8E61D58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7" authorId="0" shapeId="0" xr:uid="{FA2D482E-B348-4587-9FE4-B2F0CC2813F8}">
      <text>
        <r>
          <rPr>
            <sz val="9"/>
            <color indexed="81"/>
            <rFont val="Tahoma"/>
            <charset val="1"/>
          </rPr>
          <t>Source: UNICEF State of the World's Children coverage map 2017 &lt;http://www.ign.org/cm_data/UNICEF_map.jpg&gt;</t>
        </r>
      </text>
    </comment>
    <comment ref="D17" authorId="0" shapeId="0" xr:uid="{BB1006E7-6152-451F-94CB-491006AEA421}">
      <text>
        <r>
          <rPr>
            <sz val="9"/>
            <color indexed="81"/>
            <rFont val="Tahoma"/>
            <charset val="1"/>
          </rPr>
          <t>Source: Costing based upon estimates by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8" authorId="0" shapeId="0" xr:uid="{C94C3201-11F1-4287-8989-A6EAF037086D}">
      <text>
        <r>
          <rPr>
            <sz val="9"/>
            <color indexed="81"/>
            <rFont val="Tahoma"/>
            <charset val="1"/>
          </rPr>
          <t>Source: LiST</t>
        </r>
      </text>
    </comment>
    <comment ref="D18" authorId="0" shapeId="0" xr:uid="{E8F1F688-68A5-45A3-B921-84EF62DC520D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19" authorId="0" shapeId="0" xr:uid="{7CD048D3-947F-496C-9E91-E25000B31FE4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20" authorId="0" shapeId="0" xr:uid="{DCAD45AE-ECD2-460E-8019-BD0C1A2E66C4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21" authorId="0" shapeId="0" xr:uid="{7AB5CE84-427F-494C-9D47-429A43AA157D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21" authorId="0" shapeId="0" xr:uid="{A5C865A1-5782-4974-A54D-F1C288098253}">
      <text>
        <r>
          <rPr>
            <sz val="9"/>
            <color indexed="81"/>
            <rFont val="Tahoma"/>
            <charset val="1"/>
          </rPr>
          <t>Source: Personnel wages based on 2016 GDP per capita and time requirements estimated by authors</t>
        </r>
      </text>
    </comment>
    <comment ref="D22" authorId="0" shapeId="0" xr:uid="{E59B6186-9B64-4F50-AAF8-100226A2B3E4}">
      <text>
        <r>
          <rPr>
            <sz val="9"/>
            <color indexed="81"/>
            <rFont val="Tahoma"/>
            <charset val="1"/>
          </rPr>
          <t xml:space="preserve">Source: </t>
        </r>
      </text>
    </comment>
    <comment ref="B23" authorId="0" shapeId="0" xr:uid="{56511636-AE26-48F2-A34F-9E1035698205}">
      <text>
        <r>
          <rPr>
            <sz val="9"/>
            <color indexed="81"/>
            <rFont val="Tahoma"/>
            <charset val="1"/>
          </rPr>
          <t>Source: LiST</t>
        </r>
      </text>
    </comment>
    <comment ref="D23" authorId="0" shapeId="0" xr:uid="{61B7F383-7D05-41CA-BCA6-D03946E2D362}">
      <text>
        <r>
          <rPr>
            <sz val="9"/>
            <color indexed="81"/>
            <rFont val="Tahoma"/>
            <charset val="1"/>
          </rPr>
          <t>Source: Material costs taken from 2014 WHO International Drug Pricing &lt;http://apps.who.int/medicinedocs/documents/s21982en/s21982en.pdf&gt;,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4" authorId="0" shapeId="0" xr:uid="{5FB66BD7-3755-49B4-BD45-3EBA7F8CA1D3}">
      <text>
        <r>
          <rPr>
            <sz val="9"/>
            <color indexed="81"/>
            <rFont val="Tahoma"/>
            <charset val="1"/>
          </rPr>
          <t>Source: LiST</t>
        </r>
      </text>
    </comment>
    <comment ref="D24" authorId="0" shapeId="0" xr:uid="{B95A2B6D-7BB1-4F54-B963-E1BB911CA92C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5" authorId="0" shapeId="0" xr:uid="{AE6140CA-0FE0-4BAD-A5DB-46A80F11E264}">
      <text>
        <r>
          <rPr>
            <sz val="9"/>
            <color indexed="81"/>
            <rFont val="Tahoma"/>
            <charset val="1"/>
          </rPr>
          <t>Source: LiST</t>
        </r>
      </text>
    </comment>
    <comment ref="D25" authorId="0" shapeId="0" xr:uid="{38BED44B-6811-4358-BD08-FC3E9EB1D9D5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6" authorId="0" shapeId="0" xr:uid="{0E9F8C9F-1A7E-4A38-8AF0-95737AD6EC41}">
      <text>
        <r>
          <rPr>
            <sz val="9"/>
            <color indexed="81"/>
            <rFont val="Tahoma"/>
            <charset val="1"/>
          </rPr>
          <t>Source: LiST</t>
        </r>
      </text>
    </comment>
    <comment ref="D26" authorId="0" shapeId="0" xr:uid="{F495DA2F-991D-4AF8-9B8C-EC95B4E1265E}">
      <text>
        <r>
          <rPr>
            <sz val="9"/>
            <color indexed="81"/>
            <rFont val="Tahoma"/>
            <charset val="1"/>
          </rPr>
          <t>Source: Drug dosages taken from WHO eLENA, drug costs taken from UNICEF pricing list at &lt;https://www.unicef.org/supply/files/Micro_Nutrient_Powder_-_September_2016(1).pdf&gt;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7" authorId="0" shapeId="0" xr:uid="{92119FB5-A51C-4D78-8115-EDA1F342CFAE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27" authorId="0" shapeId="0" xr:uid="{1BE628AA-38DF-45CD-B0EB-76C694F51364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28" authorId="0" shapeId="0" xr:uid="{CD3930F6-E1B8-4102-ACA2-C7EFA2138E1C}">
      <text>
        <r>
          <rPr>
            <sz val="9"/>
            <color indexed="81"/>
            <rFont val="Tahoma"/>
            <charset val="1"/>
          </rPr>
          <t>Source: LiST/DHS (Country level)</t>
        </r>
      </text>
    </comment>
    <comment ref="D28" authorId="0" shapeId="0" xr:uid="{72CA1A65-98CB-4493-A626-FFD23E24966F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9" authorId="0" shapeId="0" xr:uid="{70B42D9C-4306-449E-BF0B-DD323171FF09}">
      <text>
        <r>
          <rPr>
            <sz val="9"/>
            <color indexed="81"/>
            <rFont val="Tahoma"/>
            <charset val="1"/>
          </rPr>
          <t>Source: LiST</t>
        </r>
      </text>
    </comment>
    <comment ref="D29" authorId="0" shapeId="0" xr:uid="{656E0A68-5231-419A-9854-45E3944CBECA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30" authorId="0" shapeId="0" xr:uid="{48E7285A-F35A-4F48-8D8B-332690D017BF}">
      <text>
        <r>
          <rPr>
            <sz val="9"/>
            <color indexed="81"/>
            <rFont val="Tahoma"/>
            <charset val="1"/>
          </rPr>
          <t>Source: LiST</t>
        </r>
      </text>
    </comment>
    <comment ref="D30" authorId="0" shapeId="0" xr:uid="{7F33DF58-B5AF-4B70-8D9C-05EFC1672DBD}">
      <text>
        <r>
          <rPr>
            <sz val="9"/>
            <color indexed="81"/>
            <rFont val="Tahoma"/>
            <charset val="1"/>
          </rPr>
          <t xml:space="preserve">Source: </t>
        </r>
      </text>
    </comment>
    <comment ref="B31" authorId="0" shapeId="0" xr:uid="{06C12E13-1AAE-4715-8E5D-941ED299FB13}">
      <text>
        <r>
          <rPr>
            <sz val="9"/>
            <color indexed="81"/>
            <rFont val="Tahoma"/>
            <charset val="1"/>
          </rPr>
          <t>Source: LiST/DHS (Country level)</t>
        </r>
      </text>
    </comment>
    <comment ref="D31" authorId="0" shapeId="0" xr:uid="{1A3541CC-7141-490F-8A81-510609B93B99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32" authorId="0" shapeId="0" xr:uid="{9E757631-907B-4D1B-AF19-D11242AC0556}">
      <text>
        <r>
          <rPr>
            <sz val="9"/>
            <color indexed="81"/>
            <rFont val="Tahoma"/>
            <charset val="1"/>
          </rPr>
          <t>Source: LiST</t>
        </r>
      </text>
    </comment>
    <comment ref="B33" authorId="0" shapeId="0" xr:uid="{857E1AE2-CCC3-4112-A059-D7433B925FE2}">
      <text>
        <r>
          <rPr>
            <sz val="9"/>
            <color indexed="81"/>
            <rFont val="Tahoma"/>
            <charset val="1"/>
          </rPr>
          <t>Source: LiST</t>
        </r>
      </text>
    </comment>
    <comment ref="B34" authorId="0" shapeId="0" xr:uid="{56808971-C5BA-46A2-8AB6-1095693557AE}">
      <text>
        <r>
          <rPr>
            <sz val="9"/>
            <color indexed="81"/>
            <rFont val="Tahoma"/>
            <charset val="1"/>
          </rPr>
          <t>Source: LiST</t>
        </r>
      </text>
    </comment>
    <comment ref="B35" authorId="0" shapeId="0" xr:uid="{EBE34B37-28E2-45F4-BCEF-1EA9DA5E5878}">
      <text>
        <r>
          <rPr>
            <sz val="9"/>
            <color indexed="81"/>
            <rFont val="Tahoma"/>
            <charset val="1"/>
          </rPr>
          <t>Source: LiST</t>
        </r>
      </text>
    </comment>
    <comment ref="B36" authorId="0" shapeId="0" xr:uid="{1420567B-D3F3-4367-8D18-2ECB05703D60}">
      <text>
        <r>
          <rPr>
            <sz val="9"/>
            <color indexed="81"/>
            <rFont val="Tahoma"/>
            <charset val="1"/>
          </rPr>
          <t>Source: LiST</t>
        </r>
      </text>
    </comment>
    <comment ref="B37" authorId="0" shapeId="0" xr:uid="{5494558B-57AD-4EBF-B4C0-F5D175FF2B1C}">
      <text>
        <r>
          <rPr>
            <sz val="9"/>
            <color indexed="81"/>
            <rFont val="Tahoma"/>
            <charset val="1"/>
          </rPr>
          <t>Source: LiST</t>
        </r>
      </text>
    </comment>
    <comment ref="D37" authorId="0" shapeId="0" xr:uid="{FB29BED3-8A54-4B76-BAE1-5BDE35997BB2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38" authorId="0" shapeId="0" xr:uid="{DD7F93E3-F50C-4C53-8B02-FDD0700FF042}">
      <text>
        <r>
          <rPr>
            <sz val="9"/>
            <color indexed="81"/>
            <rFont val="Tahoma"/>
            <charset val="1"/>
          </rPr>
          <t>Source: DHS</t>
        </r>
      </text>
    </comment>
    <comment ref="D38" authorId="0" shapeId="0" xr:uid="{F67A6D17-4F92-448F-8CD4-4E7A8775B36F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A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<sst xmlns="http://schemas.openxmlformats.org/spreadsheetml/2006/main" count="1102" uniqueCount="271">
  <si>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</si>
  <si>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</si>
  <si>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</si>
  <si>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</si>
  <si>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</si>
  <si>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</si>
  <si>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</si>
  <si>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</si>
  <si>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</si>
  <si>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</si>
  <si>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</si>
  <si>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</si>
  <si>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</si>
  <si>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</si>
  <si>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</si>
  <si>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</si>
  <si>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</si>
  <si>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</si>
  <si>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</si>
  <si>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</si>
  <si>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</si>
  <si>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</si>
  <si>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</si>
  <si>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</si>
  <si>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</si>
  <si>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</si>
  <si>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</si>
  <si>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</si>
  <si>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</si>
  <si>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</si>
  <si>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</si>
  <si>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</si>
  <si>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</si>
  <si>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</si>
  <si>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</si>
  <si>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</si>
  <si>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</si>
  <si>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</si>
  <si>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</si>
  <si>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</si>
  <si>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</si>
  <si>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</si>
  <si>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</si>
  <si>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</si>
  <si>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</si>
  <si>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</si>
  <si>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</si>
  <si>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</si>
  <si>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</si>
  <si>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</si>
  <si>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</si>
  <si>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</si>
  <si>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</si>
  <si>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</si>
  <si>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</si>
  <si>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</si>
  <si>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</si>
  <si>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</si>
  <si>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</si>
  <si>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</si>
  <si>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</si>
  <si>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</si>
  <si>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</si>
  <si>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</si>
  <si>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</si>
  <si>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</si>
  <si>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</si>
  <si>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</si>
  <si>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</si>
  <si>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</si>
  <si>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</si>
  <si>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</si>
  <si>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</si>
  <si>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</si>
  <si>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</si>
  <si>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</si>
  <si>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</si>
  <si>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</si>
  <si>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</si>
  <si>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</si>
  <si>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</si>
  <si>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</si>
  <si>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</si>
  <si>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</si>
  <si>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</si>
  <si>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</si>
  <si>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</si>
  <si>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</si>
  <si>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</si>
  <si>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</si>
  <si>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</si>
  <si>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</si>
  <si>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</si>
  <si>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</si>
  <si>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</si>
  <si>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</si>
  <si>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</si>
  <si>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</si>
  <si>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</si>
  <si>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</si>
  <si>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</si>
  <si>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</si>
  <si>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</si>
  <si>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</si>
  <si>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</si>
  <si>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</si>
  <si>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</si>
  <si>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</si>
  <si>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</si>
  <si>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</si>
  <si>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</si>
  <si>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</si>
  <si>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</si>
  <si>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</si>
  <si>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</si>
  <si>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</si>
  <si>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</si>
  <si>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</si>
  <si>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</si>
  <si>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</si>
  <si>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</si>
  <si>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</si>
  <si>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</si>
  <si>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</si>
  <si>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</si>
  <si>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</si>
  <si>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</si>
  <si>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</si>
  <si>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</si>
  <si>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</si>
  <si>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</si>
  <si>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</si>
  <si>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</si>
  <si>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</si>
  <si>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</si>
  <si>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</si>
  <si>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</si>
  <si>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</si>
  <si>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</si>
  <si>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</si>
  <si>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</si>
  <si>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</si>
  <si>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</si>
  <si>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</si>
  <si>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</si>
  <si>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</si>
  <si>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</si>
  <si>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</si>
  <si>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</si>
  <si>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</si>
  <si>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</si>
  <si>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</si>
  <si>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</si>
  <si>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</si>
  <si>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</si>
  <si>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</si>
  <si>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</si>
  <si>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</si>
  <si>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</si>
  <si>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</si>
  <si>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</si>
  <si>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</si>
  <si>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</si>
  <si>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</si>
  <si>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</si>
  <si>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</si>
  <si>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</si>
  <si>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</si>
  <si>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</si>
  <si>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</si>
  <si>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</si>
  <si>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</si>
  <si>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</si>
  <si>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</si>
  <si>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</si>
  <si>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</si>
  <si>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</si>
  <si>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</si>
  <si>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</si>
  <si>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</si>
  <si>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</si>
  <si>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</si>
  <si>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</si>
  <si>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</si>
  <si>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</si>
  <si>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</si>
  <si>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</si>
  <si>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</si>
  <si>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</si>
  <si>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</si>
  <si>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</si>
  <si>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</si>
  <si>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</si>
  <si>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</si>
  <si>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</si>
  <si>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Unit costs (US$) by delivery modality and target population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</si>
  <si>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</si>
  <si>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</si>
  <si>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</si>
  <si>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</si>
  <si>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</si>
  <si>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</si>
  <si>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</si>
  <si>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</si>
  <si>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</si>
  <si>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</si>
  <si>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</si>
  <si>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Unit cost (US$ per person per year)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</si>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</sst>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/>
    <xf numFmtId="2" fontId="1" fillId="0" borderId="0" xfId="726" applyNumberFormat="1"/>
    <xf numFmtId="0" fontId="1" fillId="0" borderId="0" xfId="726" applyFont="1" applyAlignment="1"/>
    <xf numFmtId="0" fontId="17" fillId="0" borderId="0" xfId="726" applyFont="1"/>
    <xf numFmtId="0" fontId="8" fillId="0" borderId="0" xfId="726" applyFont="1" applyAlignment="1"/>
    <xf numFmtId="0" fontId="8" fillId="0" borderId="0" xfId="726" applyFont="1" applyAlignment="1">
      <alignment wrapText="1"/>
    </xf>
    <xf numFmtId="167" fontId="20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1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9" fillId="3" borderId="1" xfId="725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1" fillId="0" borderId="0" xfId="725" applyFont="1" applyAlignment="1"/>
    <xf numFmtId="0" fontId="2" fillId="0" borderId="0" xfId="725" applyFont="1" applyAlignment="1"/>
    <xf numFmtId="0" fontId="21" fillId="0" borderId="0" xfId="725" applyFont="1" applyAlignment="1">
      <alignment horizontal="right" wrapText="1"/>
    </xf>
    <xf numFmtId="0" fontId="21" fillId="0" borderId="0" xfId="725" applyFont="1" applyFill="1" applyAlignment="1"/>
    <xf numFmtId="1" fontId="21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5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4" fillId="2" borderId="1" xfId="0" applyNumberFormat="1" applyFont="1" applyFill="1" applyBorder="1" applyAlignment="1">
      <alignment horizontal="right"/>
    </xf>
    <xf numFmtId="167" fontId="4" fillId="2" borderId="1" xfId="10" applyNumberFormat="1" applyFont="1" applyFill="1" applyBorder="1" applyAlignment="1">
      <alignment horizontal="right"/>
    </xf>
    <xf numFmtId="167" fontId="0" fillId="0" borderId="0" xfId="10" applyNumberFormat="1" applyFont="1" applyAlignment="1"/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2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7" zoomScaleNormal="100" workbookViewId="0">
      <selection activeCell="C45" sqref="C45"/>
    </sheetView>
  </sheetViews>
  <sheetFormatPr defaultColWidth="14.453125" defaultRowHeight="15.75" customHeight="1" x14ac:dyDescent="0.25"/>
  <cols>
    <col min="1" max="1" width="27.7265625" style="12" customWidth="1"/>
    <col min="2" max="2" width="38.7265625" style="16" customWidth="1"/>
    <col min="3" max="16384" width="14.453125" style="12"/>
  </cols>
  <sheetData>
    <row r="1" spans="1:3" ht="16" customHeight="1" x14ac:dyDescent="0.3">
      <c r="A1" s="1" t="s">
        <v>100</v>
      </c>
      <c r="B1" s="41" t="s">
        <v>164</v>
      </c>
      <c r="C1" s="41" t="s">
        <v>165</v>
      </c>
    </row>
    <row r="2" spans="1:3" ht="16" customHeight="1" x14ac:dyDescent="0.3">
      <c r="A2" s="12" t="s">
        <v>191</v>
      </c>
      <c r="B2" s="41"/>
      <c r="C2" s="41"/>
    </row>
    <row r="3" spans="1:3" ht="16" customHeight="1" x14ac:dyDescent="0.3">
      <c r="A3" s="1"/>
      <c r="B3" s="7" t="s">
        <v>193</v>
      </c>
      <c r="C3" s="67">
        <v>2017</v>
      </c>
    </row>
    <row r="4" spans="1:3" ht="16" customHeight="1" x14ac:dyDescent="0.3">
      <c r="A4" s="1"/>
      <c r="B4" s="9" t="s">
        <v>192</v>
      </c>
      <c r="C4" s="68">
        <v>2030</v>
      </c>
    </row>
    <row r="5" spans="1:3" ht="16" customHeight="1" x14ac:dyDescent="0.3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210</v>
      </c>
      <c r="C7" s="69">
        <v>11731</v>
      </c>
    </row>
    <row r="8" spans="1:3" ht="15" customHeight="1" x14ac:dyDescent="0.25">
      <c r="B8" s="7" t="s">
        <v>106</v>
      </c>
      <c r="C8" s="70">
        <v>0.41200000000000003</v>
      </c>
    </row>
    <row r="9" spans="1:3" ht="15" customHeight="1" x14ac:dyDescent="0.25">
      <c r="B9" s="9" t="s">
        <v>107</v>
      </c>
      <c r="C9" s="71">
        <v>5.0000000000000001E-3</v>
      </c>
    </row>
    <row r="10" spans="1:3" ht="15" customHeight="1" x14ac:dyDescent="0.25">
      <c r="B10" s="9" t="s">
        <v>105</v>
      </c>
      <c r="C10" s="71">
        <v>0.81408699039999999</v>
      </c>
    </row>
    <row r="11" spans="1:3" ht="15" customHeight="1" x14ac:dyDescent="0.25">
      <c r="B11" s="7" t="s">
        <v>108</v>
      </c>
      <c r="C11" s="70">
        <v>0.73</v>
      </c>
    </row>
    <row r="12" spans="1:3" ht="15" customHeight="1" x14ac:dyDescent="0.25">
      <c r="B12" s="7" t="s">
        <v>109</v>
      </c>
      <c r="C12" s="70">
        <v>0.72</v>
      </c>
    </row>
    <row r="13" spans="1:3" ht="15" customHeight="1" x14ac:dyDescent="0.25">
      <c r="B13" s="7" t="s">
        <v>110</v>
      </c>
      <c r="C13" s="70">
        <v>0.10299999999999999</v>
      </c>
    </row>
    <row r="14" spans="1:3" ht="15" customHeight="1" x14ac:dyDescent="0.25">
      <c r="B14" s="12"/>
    </row>
    <row r="15" spans="1:3" ht="15" customHeight="1" x14ac:dyDescent="0.3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71">
        <v>0.1</v>
      </c>
    </row>
    <row r="17" spans="1:3" ht="15" customHeight="1" x14ac:dyDescent="0.25">
      <c r="B17" s="9" t="s">
        <v>95</v>
      </c>
      <c r="C17" s="71">
        <v>5.0000000000000001E-3</v>
      </c>
    </row>
    <row r="18" spans="1:3" ht="15" customHeight="1" x14ac:dyDescent="0.25">
      <c r="B18" s="9" t="s">
        <v>96</v>
      </c>
      <c r="C18" s="71">
        <v>5.0000000000000001E-3</v>
      </c>
    </row>
    <row r="19" spans="1:3" ht="15" customHeight="1" x14ac:dyDescent="0.25">
      <c r="B19" s="9" t="s">
        <v>97</v>
      </c>
      <c r="C19" s="71">
        <v>0.99</v>
      </c>
    </row>
    <row r="20" spans="1:3" ht="15" customHeight="1" x14ac:dyDescent="0.25">
      <c r="B20" s="9" t="s">
        <v>98</v>
      </c>
      <c r="C20" s="72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71">
        <v>2.3799999999999998E-2</v>
      </c>
    </row>
    <row r="24" spans="1:3" ht="15" customHeight="1" x14ac:dyDescent="0.25">
      <c r="B24" s="20" t="s">
        <v>102</v>
      </c>
      <c r="C24" s="71">
        <v>0.4365</v>
      </c>
    </row>
    <row r="25" spans="1:3" ht="15" customHeight="1" x14ac:dyDescent="0.25">
      <c r="B25" s="20" t="s">
        <v>103</v>
      </c>
      <c r="C25" s="71">
        <v>0.49280000000000002</v>
      </c>
    </row>
    <row r="26" spans="1:3" ht="15" customHeight="1" x14ac:dyDescent="0.25">
      <c r="B26" s="20" t="s">
        <v>104</v>
      </c>
      <c r="C26" s="71">
        <v>4.6899999999999997E-2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197</v>
      </c>
      <c r="B28" s="20"/>
      <c r="C28" s="20"/>
    </row>
    <row r="29" spans="1:3" ht="14.25" customHeight="1" x14ac:dyDescent="0.25">
      <c r="B29" s="30" t="s">
        <v>75</v>
      </c>
      <c r="C29" s="73">
        <v>0.35700000000000004</v>
      </c>
    </row>
    <row r="30" spans="1:3" ht="14.25" customHeight="1" x14ac:dyDescent="0.25">
      <c r="B30" s="30" t="s">
        <v>76</v>
      </c>
      <c r="C30" s="73">
        <v>6.6000000000000003E-2</v>
      </c>
    </row>
    <row r="31" spans="1:3" ht="14.25" customHeight="1" x14ac:dyDescent="0.25">
      <c r="B31" s="30" t="s">
        <v>77</v>
      </c>
      <c r="C31" s="73">
        <v>9.3000000000000013E-2</v>
      </c>
    </row>
    <row r="32" spans="1:3" ht="14.25" customHeight="1" x14ac:dyDescent="0.25">
      <c r="B32" s="30" t="s">
        <v>78</v>
      </c>
      <c r="C32" s="73">
        <v>0.48399999998509885</v>
      </c>
    </row>
    <row r="33" spans="1:5" ht="13" x14ac:dyDescent="0.25">
      <c r="B33" s="32" t="s">
        <v>129</v>
      </c>
      <c r="C33" s="74">
        <f>SUM(C29:C32)</f>
        <v>0.99999999998509881</v>
      </c>
    </row>
    <row r="34" spans="1:5" ht="15" customHeight="1" x14ac:dyDescent="0.25"/>
    <row r="35" spans="1:5" ht="15" customHeight="1" x14ac:dyDescent="0.3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5">
        <v>16.5</v>
      </c>
    </row>
    <row r="38" spans="1:5" ht="15" customHeight="1" x14ac:dyDescent="0.25">
      <c r="B38" s="16" t="s">
        <v>91</v>
      </c>
      <c r="C38" s="75">
        <v>26.7</v>
      </c>
      <c r="D38" s="17"/>
      <c r="E38" s="18"/>
    </row>
    <row r="39" spans="1:5" ht="15" customHeight="1" x14ac:dyDescent="0.25">
      <c r="B39" s="16" t="s">
        <v>90</v>
      </c>
      <c r="C39" s="75">
        <v>32.200000000000003</v>
      </c>
      <c r="D39" s="17"/>
      <c r="E39" s="17"/>
    </row>
    <row r="40" spans="1:5" ht="15" customHeight="1" x14ac:dyDescent="0.25">
      <c r="B40" s="16" t="s">
        <v>171</v>
      </c>
      <c r="C40" s="75">
        <v>1</v>
      </c>
    </row>
    <row r="41" spans="1:5" ht="15" customHeight="1" x14ac:dyDescent="0.25">
      <c r="B41" s="16" t="s">
        <v>89</v>
      </c>
      <c r="C41" s="71">
        <v>0.13</v>
      </c>
    </row>
    <row r="42" spans="1:5" ht="15" customHeight="1" x14ac:dyDescent="0.25">
      <c r="B42" s="42" t="s">
        <v>93</v>
      </c>
      <c r="C42" s="75">
        <v>17.8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71">
        <v>2.4799999999999999E-2</v>
      </c>
      <c r="D45" s="17"/>
    </row>
    <row r="46" spans="1:5" ht="15.75" customHeight="1" x14ac:dyDescent="0.25">
      <c r="B46" s="16" t="s">
        <v>11</v>
      </c>
      <c r="C46" s="71">
        <v>8.0199999999999994E-2</v>
      </c>
      <c r="D46" s="17"/>
    </row>
    <row r="47" spans="1:5" ht="15.75" customHeight="1" x14ac:dyDescent="0.25">
      <c r="B47" s="16" t="s">
        <v>12</v>
      </c>
      <c r="C47" s="71">
        <v>0.2072</v>
      </c>
      <c r="D47" s="17"/>
      <c r="E47" s="18"/>
    </row>
    <row r="48" spans="1:5" ht="15" customHeight="1" x14ac:dyDescent="0.25">
      <c r="B48" s="16" t="s">
        <v>26</v>
      </c>
      <c r="C48" s="72">
        <f>1-term_SGA-preterm_AGA-preterm_SGA</f>
        <v>0.68779999999999986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6">
        <v>3.2483492789624999</v>
      </c>
      <c r="D51" s="17"/>
    </row>
    <row r="52" spans="1:4" ht="15" customHeight="1" x14ac:dyDescent="0.25">
      <c r="B52" s="16" t="s">
        <v>125</v>
      </c>
      <c r="C52" s="76">
        <v>2.92818174116</v>
      </c>
    </row>
    <row r="53" spans="1:4" ht="15.75" customHeight="1" x14ac:dyDescent="0.25">
      <c r="B53" s="16" t="s">
        <v>126</v>
      </c>
      <c r="C53" s="76">
        <v>2.92818174116</v>
      </c>
    </row>
    <row r="54" spans="1:4" ht="15.75" customHeight="1" x14ac:dyDescent="0.25">
      <c r="B54" s="16" t="s">
        <v>127</v>
      </c>
      <c r="C54" s="76">
        <v>2.5117394004399998</v>
      </c>
    </row>
    <row r="55" spans="1:4" ht="15.75" customHeight="1" x14ac:dyDescent="0.25">
      <c r="B55" s="16" t="s">
        <v>128</v>
      </c>
      <c r="C55" s="76">
        <v>2.5117394004399998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70">
        <v>2.1459227467811159E-2</v>
      </c>
    </row>
    <row r="59" spans="1:4" ht="15.75" customHeight="1" x14ac:dyDescent="0.25">
      <c r="B59" s="16" t="s">
        <v>132</v>
      </c>
      <c r="C59" s="70">
        <v>0.59005487744229501</v>
      </c>
    </row>
    <row r="63" spans="1:4" ht="15.75" customHeight="1" x14ac:dyDescent="0.3">
      <c r="A63" s="4"/>
    </row>
  </sheetData>
  <sheetProtection password="CA9F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39"/>
  <sheetViews>
    <sheetView topLeftCell="A10" workbookViewId="0">
      <selection activeCell="B10" sqref="B10"/>
    </sheetView>
  </sheetViews>
  <sheetFormatPr defaultColWidth="14.453125" defaultRowHeight="15.75" customHeight="1" x14ac:dyDescent="0.25"/>
  <cols>
    <col min="1" max="1" width="56" style="52" customWidth="1"/>
    <col min="2" max="2" width="20" style="36" customWidth="1"/>
    <col min="3" max="3" width="20.453125" style="35" customWidth="1"/>
    <col min="4" max="4" width="20.1796875" style="35" customWidth="1"/>
    <col min="5" max="5" width="32.26953125" style="35" bestFit="1" customWidth="1"/>
    <col min="6" max="16384" width="14.453125" style="35"/>
  </cols>
  <sheetData>
    <row r="1" spans="1:5" ht="26" x14ac:dyDescent="0.3">
      <c r="A1" s="54" t="s">
        <v>69</v>
      </c>
      <c r="B1" s="66" t="str">
        <f>"Baseline ("&amp;start_year&amp;") coverage"</f>
        <v>Baseline (2017) coverage</v>
      </c>
      <c r="C1" s="53" t="s">
        <v>201</v>
      </c>
      <c r="D1" s="53" t="s">
        <v>207</v>
      </c>
      <c r="E1" s="53" t="s">
        <v>206</v>
      </c>
    </row>
    <row r="2" spans="1:5" ht="15.75" customHeight="1" x14ac:dyDescent="0.25">
      <c r="A2" s="52" t="s">
        <v>29</v>
      </c>
      <c r="B2" s="85">
        <v>0</v>
      </c>
      <c r="C2" s="85">
        <v>0.95</v>
      </c>
      <c r="D2" s="86">
        <v>51.649200023798471</v>
      </c>
      <c r="E2" s="86" t="s">
        <v>202</v>
      </c>
    </row>
    <row r="3" spans="1:5" ht="15.75" customHeight="1" x14ac:dyDescent="0.25">
      <c r="A3" s="52" t="s">
        <v>86</v>
      </c>
      <c r="B3" s="85">
        <v>0</v>
      </c>
      <c r="C3" s="85">
        <v>0.95</v>
      </c>
      <c r="D3" s="86">
        <v>39.737125372069535</v>
      </c>
      <c r="E3" s="86" t="s">
        <v>202</v>
      </c>
    </row>
    <row r="4" spans="1:5" ht="15.75" customHeight="1" x14ac:dyDescent="0.25">
      <c r="A4" s="52" t="s">
        <v>61</v>
      </c>
      <c r="B4" s="85">
        <v>0</v>
      </c>
      <c r="C4" s="85">
        <v>0.95</v>
      </c>
      <c r="D4" s="86">
        <v>314.37491066068219</v>
      </c>
      <c r="E4" s="86" t="s">
        <v>202</v>
      </c>
    </row>
    <row r="5" spans="1:5" ht="15.75" customHeight="1" x14ac:dyDescent="0.25">
      <c r="A5" s="52" t="s">
        <v>149</v>
      </c>
      <c r="B5" s="85">
        <v>0</v>
      </c>
      <c r="C5" s="85">
        <v>0.95</v>
      </c>
      <c r="D5" s="86">
        <v>2.0109515487164078</v>
      </c>
      <c r="E5" s="86" t="s">
        <v>202</v>
      </c>
    </row>
    <row r="6" spans="1:5" ht="15.75" customHeight="1" x14ac:dyDescent="0.25">
      <c r="A6" s="52" t="s">
        <v>198</v>
      </c>
      <c r="B6" s="85">
        <v>0</v>
      </c>
      <c r="C6" s="85">
        <v>0.95</v>
      </c>
      <c r="D6" s="86">
        <v>1</v>
      </c>
      <c r="E6" s="86" t="s">
        <v>202</v>
      </c>
    </row>
    <row r="7" spans="1:5" ht="15.75" customHeight="1" x14ac:dyDescent="0.25">
      <c r="A7" s="52" t="s">
        <v>63</v>
      </c>
      <c r="B7" s="85">
        <v>0.5</v>
      </c>
      <c r="C7" s="85">
        <v>0.95</v>
      </c>
      <c r="D7" s="86">
        <v>0.3715978850511571</v>
      </c>
      <c r="E7" s="86" t="s">
        <v>202</v>
      </c>
    </row>
    <row r="8" spans="1:5" ht="15.75" customHeight="1" x14ac:dyDescent="0.25">
      <c r="A8" s="52" t="s">
        <v>64</v>
      </c>
      <c r="B8" s="85">
        <v>0.5</v>
      </c>
      <c r="C8" s="85">
        <v>0.95</v>
      </c>
      <c r="D8" s="86">
        <v>0.3715978850511571</v>
      </c>
      <c r="E8" s="86" t="s">
        <v>202</v>
      </c>
    </row>
    <row r="9" spans="1:5" ht="15.75" customHeight="1" x14ac:dyDescent="0.25">
      <c r="A9" s="52" t="s">
        <v>62</v>
      </c>
      <c r="B9" s="85">
        <v>0.5</v>
      </c>
      <c r="C9" s="85">
        <v>0.95</v>
      </c>
      <c r="D9" s="86">
        <v>0.3715978850511571</v>
      </c>
      <c r="E9" s="86" t="s">
        <v>202</v>
      </c>
    </row>
    <row r="10" spans="1:5" ht="15.75" customHeight="1" x14ac:dyDescent="0.25">
      <c r="A10" s="63" t="s">
        <v>188</v>
      </c>
      <c r="B10" s="85">
        <v>0</v>
      </c>
      <c r="C10" s="85">
        <v>0.95</v>
      </c>
      <c r="D10" s="86">
        <v>1.3365910865514319</v>
      </c>
      <c r="E10" s="86" t="s">
        <v>202</v>
      </c>
    </row>
    <row r="11" spans="1:5" ht="15.75" customHeight="1" x14ac:dyDescent="0.25">
      <c r="A11" s="63" t="s">
        <v>208</v>
      </c>
      <c r="B11" s="85">
        <v>0</v>
      </c>
      <c r="C11" s="85">
        <v>0.95</v>
      </c>
      <c r="D11" s="86">
        <v>1.3365910865514319</v>
      </c>
      <c r="E11" s="86" t="s">
        <v>202</v>
      </c>
    </row>
    <row r="12" spans="1:5" ht="15.75" customHeight="1" x14ac:dyDescent="0.25">
      <c r="A12" s="63" t="s">
        <v>189</v>
      </c>
      <c r="B12" s="85">
        <v>0</v>
      </c>
      <c r="C12" s="85">
        <v>0.95</v>
      </c>
      <c r="D12" s="86">
        <v>1.3365910865514319</v>
      </c>
      <c r="E12" s="86" t="s">
        <v>202</v>
      </c>
    </row>
    <row r="13" spans="1:5" ht="15.75" customHeight="1" x14ac:dyDescent="0.25">
      <c r="A13" s="63" t="s">
        <v>190</v>
      </c>
      <c r="B13" s="85">
        <v>0</v>
      </c>
      <c r="C13" s="85">
        <v>0.95</v>
      </c>
      <c r="D13" s="86">
        <v>1.3365910865514319</v>
      </c>
      <c r="E13" s="86" t="s">
        <v>202</v>
      </c>
    </row>
    <row r="14" spans="1:5" ht="15.75" customHeight="1" x14ac:dyDescent="0.25">
      <c r="A14" s="11" t="s">
        <v>187</v>
      </c>
      <c r="B14" s="85">
        <v>0</v>
      </c>
      <c r="C14" s="85">
        <v>0.95</v>
      </c>
      <c r="D14" s="86">
        <v>12.86942481586545</v>
      </c>
      <c r="E14" s="86" t="s">
        <v>202</v>
      </c>
    </row>
    <row r="15" spans="1:5" ht="15.75" customHeight="1" x14ac:dyDescent="0.25">
      <c r="A15" s="11" t="s">
        <v>209</v>
      </c>
      <c r="B15" s="85">
        <v>0</v>
      </c>
      <c r="C15" s="85">
        <v>0.95</v>
      </c>
      <c r="D15" s="86">
        <v>12.86942481586545</v>
      </c>
      <c r="E15" s="86" t="s">
        <v>202</v>
      </c>
    </row>
    <row r="16" spans="1:5" ht="15.75" customHeight="1" x14ac:dyDescent="0.25">
      <c r="A16" s="52" t="s">
        <v>57</v>
      </c>
      <c r="B16" s="85">
        <v>0</v>
      </c>
      <c r="C16" s="85">
        <v>0.95</v>
      </c>
      <c r="D16" s="86">
        <v>0.57619061576079733</v>
      </c>
      <c r="E16" s="86" t="s">
        <v>202</v>
      </c>
    </row>
    <row r="17" spans="1:5" ht="15.75" customHeight="1" x14ac:dyDescent="0.25">
      <c r="A17" s="52" t="s">
        <v>47</v>
      </c>
      <c r="B17" s="85">
        <v>0.86</v>
      </c>
      <c r="C17" s="85">
        <v>0.95</v>
      </c>
      <c r="D17" s="86">
        <v>0.13690448396621577</v>
      </c>
      <c r="E17" s="86" t="s">
        <v>202</v>
      </c>
    </row>
    <row r="18" spans="1:5" ht="16" customHeight="1" x14ac:dyDescent="0.25">
      <c r="A18" s="52" t="s">
        <v>173</v>
      </c>
      <c r="B18" s="85">
        <v>0</v>
      </c>
      <c r="C18" s="85">
        <v>0.95</v>
      </c>
      <c r="D18" s="87">
        <v>7.2775744227562367</v>
      </c>
      <c r="E18" s="86" t="s">
        <v>202</v>
      </c>
    </row>
    <row r="19" spans="1:5" ht="15.75" customHeight="1" x14ac:dyDescent="0.25">
      <c r="A19" s="52" t="s">
        <v>199</v>
      </c>
      <c r="B19" s="85">
        <v>0</v>
      </c>
      <c r="C19" s="85">
        <v>0.95</v>
      </c>
      <c r="D19" s="87">
        <v>7.2775744227562367</v>
      </c>
      <c r="E19" s="86" t="s">
        <v>202</v>
      </c>
    </row>
    <row r="20" spans="1:5" ht="15.75" customHeight="1" x14ac:dyDescent="0.25">
      <c r="A20" s="52" t="s">
        <v>200</v>
      </c>
      <c r="B20" s="85">
        <v>0</v>
      </c>
      <c r="C20" s="85">
        <v>0.95</v>
      </c>
      <c r="D20" s="87">
        <v>7.2775744227562367</v>
      </c>
      <c r="E20" s="86" t="s">
        <v>202</v>
      </c>
    </row>
    <row r="21" spans="1:5" ht="15.75" customHeight="1" x14ac:dyDescent="0.25">
      <c r="A21" s="52" t="s">
        <v>196</v>
      </c>
      <c r="B21" s="85">
        <v>0</v>
      </c>
      <c r="C21" s="85">
        <v>0.95</v>
      </c>
      <c r="D21" s="86">
        <v>19.847496939662769</v>
      </c>
      <c r="E21" s="86" t="s">
        <v>202</v>
      </c>
    </row>
    <row r="22" spans="1:5" ht="15.75" customHeight="1" x14ac:dyDescent="0.25">
      <c r="A22" s="52" t="s">
        <v>136</v>
      </c>
      <c r="B22" s="85">
        <v>0</v>
      </c>
      <c r="C22" s="85">
        <v>0.95</v>
      </c>
      <c r="D22" s="86">
        <v>22.133668666158016</v>
      </c>
      <c r="E22" s="86" t="s">
        <v>202</v>
      </c>
    </row>
    <row r="23" spans="1:5" ht="15.75" customHeight="1" x14ac:dyDescent="0.25">
      <c r="A23" s="52" t="s">
        <v>34</v>
      </c>
      <c r="B23" s="85">
        <v>0</v>
      </c>
      <c r="C23" s="85">
        <v>0.95</v>
      </c>
      <c r="D23" s="86">
        <v>4.1901160197696434</v>
      </c>
      <c r="E23" s="86" t="s">
        <v>202</v>
      </c>
    </row>
    <row r="24" spans="1:5" ht="15.75" customHeight="1" x14ac:dyDescent="0.25">
      <c r="A24" s="52" t="s">
        <v>88</v>
      </c>
      <c r="B24" s="85">
        <v>0</v>
      </c>
      <c r="C24" s="85">
        <v>0.95</v>
      </c>
      <c r="D24" s="86">
        <v>18.21712104199856</v>
      </c>
      <c r="E24" s="86" t="s">
        <v>202</v>
      </c>
    </row>
    <row r="25" spans="1:5" ht="15.75" customHeight="1" x14ac:dyDescent="0.25">
      <c r="A25" s="52" t="s">
        <v>87</v>
      </c>
      <c r="B25" s="85">
        <v>0</v>
      </c>
      <c r="C25" s="85">
        <v>0.95</v>
      </c>
      <c r="D25" s="86">
        <v>18.429054756160905</v>
      </c>
      <c r="E25" s="86" t="s">
        <v>202</v>
      </c>
    </row>
    <row r="26" spans="1:5" ht="15.75" customHeight="1" x14ac:dyDescent="0.25">
      <c r="A26" s="52" t="s">
        <v>137</v>
      </c>
      <c r="B26" s="85">
        <v>0</v>
      </c>
      <c r="C26" s="85">
        <v>0.95</v>
      </c>
      <c r="D26" s="86">
        <v>4.8977852904799244</v>
      </c>
      <c r="E26" s="86" t="s">
        <v>202</v>
      </c>
    </row>
    <row r="27" spans="1:5" ht="15.75" customHeight="1" x14ac:dyDescent="0.25">
      <c r="A27" s="52" t="s">
        <v>59</v>
      </c>
      <c r="B27" s="85">
        <v>0</v>
      </c>
      <c r="C27" s="85">
        <v>0.95</v>
      </c>
      <c r="D27" s="86">
        <v>6.3410617189081098</v>
      </c>
      <c r="E27" s="86" t="s">
        <v>202</v>
      </c>
    </row>
    <row r="28" spans="1:5" ht="15.75" customHeight="1" x14ac:dyDescent="0.25">
      <c r="A28" s="52" t="s">
        <v>84</v>
      </c>
      <c r="B28" s="85">
        <v>0</v>
      </c>
      <c r="C28" s="85">
        <v>0.95</v>
      </c>
      <c r="D28" s="86">
        <v>2.0486866073307648</v>
      </c>
      <c r="E28" s="86" t="s">
        <v>202</v>
      </c>
    </row>
    <row r="29" spans="1:5" ht="15.75" customHeight="1" x14ac:dyDescent="0.25">
      <c r="A29" s="52" t="s">
        <v>58</v>
      </c>
      <c r="B29" s="85">
        <v>0</v>
      </c>
      <c r="C29" s="85">
        <v>0.95</v>
      </c>
      <c r="D29" s="86">
        <v>99.086155818641913</v>
      </c>
      <c r="E29" s="86" t="s">
        <v>202</v>
      </c>
    </row>
    <row r="30" spans="1:5" ht="15.75" customHeight="1" x14ac:dyDescent="0.25">
      <c r="A30" s="52" t="s">
        <v>67</v>
      </c>
      <c r="B30" s="85">
        <v>0</v>
      </c>
      <c r="C30" s="85">
        <v>0.95</v>
      </c>
      <c r="D30" s="86">
        <v>4.0703992775726512</v>
      </c>
      <c r="E30" s="86" t="s">
        <v>202</v>
      </c>
    </row>
    <row r="31" spans="1:5" ht="15.75" customHeight="1" x14ac:dyDescent="0.25">
      <c r="A31" s="52" t="s">
        <v>28</v>
      </c>
      <c r="B31" s="85">
        <v>0.68</v>
      </c>
      <c r="C31" s="85">
        <v>0.95</v>
      </c>
      <c r="D31" s="86">
        <v>1.2223685282535248</v>
      </c>
      <c r="E31" s="86" t="s">
        <v>202</v>
      </c>
    </row>
    <row r="32" spans="1:5" ht="15.75" customHeight="1" x14ac:dyDescent="0.25">
      <c r="A32" s="52" t="s">
        <v>83</v>
      </c>
      <c r="B32" s="85">
        <v>0.17</v>
      </c>
      <c r="C32" s="85">
        <v>0.95</v>
      </c>
      <c r="D32" s="86">
        <v>1</v>
      </c>
      <c r="E32" s="86" t="s">
        <v>202</v>
      </c>
    </row>
    <row r="33" spans="1:6" ht="15.75" customHeight="1" x14ac:dyDescent="0.25">
      <c r="A33" s="52" t="s">
        <v>82</v>
      </c>
      <c r="B33" s="85">
        <v>0</v>
      </c>
      <c r="C33" s="85">
        <v>0.95</v>
      </c>
      <c r="D33" s="86">
        <v>2.8</v>
      </c>
      <c r="E33" s="86" t="s">
        <v>202</v>
      </c>
    </row>
    <row r="34" spans="1:6" ht="15.75" customHeight="1" x14ac:dyDescent="0.25">
      <c r="A34" s="52" t="s">
        <v>81</v>
      </c>
      <c r="B34" s="85">
        <v>0.57100000000000006</v>
      </c>
      <c r="C34" s="85">
        <v>0.95</v>
      </c>
      <c r="D34" s="86">
        <v>50.26</v>
      </c>
      <c r="E34" s="86" t="s">
        <v>202</v>
      </c>
    </row>
    <row r="35" spans="1:6" ht="15.75" customHeight="1" x14ac:dyDescent="0.25">
      <c r="A35" s="52" t="s">
        <v>79</v>
      </c>
      <c r="B35" s="85">
        <v>0.89</v>
      </c>
      <c r="C35" s="85">
        <v>0.95</v>
      </c>
      <c r="D35" s="86">
        <v>36.1</v>
      </c>
      <c r="E35" s="86" t="s">
        <v>202</v>
      </c>
    </row>
    <row r="36" spans="1:6" s="36" customFormat="1" ht="15.75" customHeight="1" x14ac:dyDescent="0.25">
      <c r="A36" s="52" t="s">
        <v>80</v>
      </c>
      <c r="B36" s="85">
        <v>0.37200000000000005</v>
      </c>
      <c r="C36" s="85">
        <v>0.95</v>
      </c>
      <c r="D36" s="86">
        <v>231.85</v>
      </c>
      <c r="E36" s="86" t="s">
        <v>202</v>
      </c>
      <c r="F36" s="35"/>
    </row>
    <row r="37" spans="1:6" ht="15.75" customHeight="1" x14ac:dyDescent="0.25">
      <c r="A37" s="52" t="s">
        <v>85</v>
      </c>
      <c r="B37" s="85">
        <v>0</v>
      </c>
      <c r="C37" s="85">
        <v>0.95</v>
      </c>
      <c r="D37" s="86">
        <v>4.9708811231948573</v>
      </c>
      <c r="E37" s="86" t="s">
        <v>202</v>
      </c>
    </row>
    <row r="38" spans="1:6" ht="15.75" customHeight="1" x14ac:dyDescent="0.25">
      <c r="A38" s="52" t="s">
        <v>60</v>
      </c>
      <c r="B38" s="85">
        <v>0</v>
      </c>
      <c r="C38" s="85">
        <v>0.95</v>
      </c>
      <c r="D38" s="86">
        <v>1.2436090355873879</v>
      </c>
      <c r="E38" s="86" t="s">
        <v>202</v>
      </c>
    </row>
    <row r="39" spans="1:6" ht="15.75" customHeight="1" x14ac:dyDescent="0.25">
      <c r="F39" s="36"/>
    </row>
  </sheetData>
  <sheetProtection algorithmName="SHA-512" hashValue="zGqGWUHks9r73YYvhtsA/6n2sxkq6NyOLMnszdwkuYHRGc3RAKyH9yLxkOwoypM6IGMaCGHxxq0vP7rXnZY93w==" saltValue="sA5n05NYbI4nfIN6wumz0A==" spinCount="100000" sheet="1" scenarios="1" selectLockedCells="1"/>
  <sortState xmlns:xlrd2="http://schemas.microsoft.com/office/spreadsheetml/2017/richdata2" ref="A2:D38">
    <sortCondition ref="A2:A38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E2:E38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E9"/>
  <sheetViews>
    <sheetView workbookViewId="0">
      <selection activeCell="D2" sqref="D2"/>
    </sheetView>
  </sheetViews>
  <sheetFormatPr defaultColWidth="10.81640625" defaultRowHeight="15.5" x14ac:dyDescent="0.35"/>
  <cols>
    <col min="1" max="1" width="18.7265625" style="55" customWidth="1"/>
    <col min="2" max="16384" width="10.81640625" style="55"/>
  </cols>
  <sheetData>
    <row r="1" spans="1:5" ht="52.5" x14ac:dyDescent="0.35">
      <c r="A1" s="60" t="s">
        <v>195</v>
      </c>
      <c r="B1" s="59" t="s">
        <v>177</v>
      </c>
      <c r="C1" s="59" t="s">
        <v>176</v>
      </c>
      <c r="D1" s="59" t="s">
        <v>175</v>
      </c>
      <c r="E1" s="59" t="s">
        <v>174</v>
      </c>
    </row>
    <row r="2" spans="1:5" x14ac:dyDescent="0.35">
      <c r="A2" s="58" t="s">
        <v>164</v>
      </c>
      <c r="B2" s="57" t="s">
        <v>32</v>
      </c>
      <c r="C2" s="86">
        <f>1.5*0.61</f>
        <v>0.91500000000000004</v>
      </c>
      <c r="D2" s="86">
        <v>3.78</v>
      </c>
      <c r="E2" s="86">
        <v>0.05</v>
      </c>
    </row>
    <row r="3" spans="1:5" x14ac:dyDescent="0.35">
      <c r="A3" s="57"/>
      <c r="B3" s="57" t="s">
        <v>1</v>
      </c>
      <c r="C3" s="86">
        <f>1.5*0.61</f>
        <v>0.91500000000000004</v>
      </c>
      <c r="D3" s="86">
        <f>10.49/4</f>
        <v>2.6225000000000001</v>
      </c>
      <c r="E3" s="86">
        <v>0.05</v>
      </c>
    </row>
    <row r="4" spans="1:5" x14ac:dyDescent="0.35">
      <c r="A4" s="57"/>
      <c r="B4" s="57" t="s">
        <v>2</v>
      </c>
      <c r="C4" s="86">
        <f>1.5*0.61</f>
        <v>0.91500000000000004</v>
      </c>
      <c r="D4" s="86">
        <f>10.49/4</f>
        <v>2.6225000000000001</v>
      </c>
      <c r="E4" s="86">
        <v>0.05</v>
      </c>
    </row>
    <row r="5" spans="1:5" x14ac:dyDescent="0.35">
      <c r="A5" s="57"/>
      <c r="B5" s="57" t="s">
        <v>3</v>
      </c>
      <c r="C5" s="86">
        <f>1.5*0.61</f>
        <v>0.91500000000000004</v>
      </c>
      <c r="D5" s="86">
        <f>10.49/4</f>
        <v>2.6225000000000001</v>
      </c>
      <c r="E5" s="86">
        <v>0.05</v>
      </c>
    </row>
    <row r="6" spans="1:5" x14ac:dyDescent="0.35">
      <c r="A6" s="57"/>
      <c r="B6" s="57" t="s">
        <v>4</v>
      </c>
      <c r="C6" s="86">
        <f>1.5*0.61</f>
        <v>0.91500000000000004</v>
      </c>
      <c r="D6" s="86">
        <f>10.49/4</f>
        <v>2.6225000000000001</v>
      </c>
      <c r="E6" s="86">
        <v>0.05</v>
      </c>
    </row>
    <row r="9" spans="1:5" x14ac:dyDescent="0.35">
      <c r="C9" s="56"/>
    </row>
  </sheetData>
  <sheetProtection algorithmName="SHA-512" hashValue="YkAilk8U5+WtZR6nCkfDN8ui35T9ch6F4SSGibHKz/fgd0cR7PN7XzCjrZgYy30yo3z4WSXsLO+I4aha1E8L9A==" saltValue="EovjrZ5MFBvM1LapaFAkZA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7" tint="-0.249977111117893"/>
  </sheetPr>
  <dimension ref="A1:C20"/>
  <sheetViews>
    <sheetView tabSelected="1" workbookViewId="0">
      <selection activeCell="B6" sqref="B6"/>
    </sheetView>
  </sheetViews>
  <sheetFormatPr defaultColWidth="11.453125" defaultRowHeight="12.5" x14ac:dyDescent="0.25"/>
  <cols>
    <col min="1" max="1" width="53" style="52" bestFit="1" customWidth="1"/>
    <col min="2" max="2" width="47.81640625" style="35" customWidth="1"/>
    <col min="3" max="3" width="42.453125" style="35" customWidth="1"/>
    <col min="4" max="16384" width="11.453125" style="35"/>
  </cols>
  <sheetData>
    <row r="1" spans="1:3" ht="13" x14ac:dyDescent="0.3">
      <c r="A1" s="40" t="s">
        <v>69</v>
      </c>
      <c r="B1" s="40" t="s">
        <v>180</v>
      </c>
      <c r="C1" s="40" t="s">
        <v>179</v>
      </c>
    </row>
    <row r="2" spans="1:3" x14ac:dyDescent="0.25">
      <c r="A2" s="88" t="s">
        <v>187</v>
      </c>
      <c r="B2" s="84" t="s">
        <v>59</v>
      </c>
      <c r="C2" s="84"/>
    </row>
    <row r="3" spans="1:3" x14ac:dyDescent="0.25">
      <c r="A3" s="88" t="s">
        <v>209</v>
      </c>
      <c r="B3" s="84" t="s">
        <v>59</v>
      </c>
      <c r="C3" s="84"/>
    </row>
    <row r="4" spans="1:3" x14ac:dyDescent="0.25">
      <c r="A4" s="89" t="s">
        <v>137</v>
      </c>
      <c r="B4" s="84" t="s">
        <v>136</v>
      </c>
      <c r="C4" s="84"/>
    </row>
    <row r="5" spans="1:3" x14ac:dyDescent="0.25">
      <c r="A5" s="89"/>
      <c r="B5" s="90"/>
      <c r="C5" s="90"/>
    </row>
    <row r="6" spans="1:3" x14ac:dyDescent="0.25">
      <c r="A6" s="89"/>
      <c r="B6" s="90"/>
      <c r="C6" s="90"/>
    </row>
    <row r="7" spans="1:3" x14ac:dyDescent="0.25">
      <c r="A7" s="89"/>
      <c r="B7" s="90"/>
      <c r="C7" s="90"/>
    </row>
    <row r="8" spans="1:3" x14ac:dyDescent="0.25">
      <c r="A8" s="89"/>
      <c r="B8" s="90"/>
      <c r="C8" s="90"/>
    </row>
    <row r="9" spans="1:3" x14ac:dyDescent="0.25">
      <c r="A9" s="89"/>
      <c r="B9" s="90"/>
      <c r="C9" s="90"/>
    </row>
    <row r="10" spans="1:3" x14ac:dyDescent="0.25">
      <c r="A10" s="89"/>
      <c r="B10" s="90"/>
      <c r="C10" s="90"/>
    </row>
    <row r="11" spans="1:3" x14ac:dyDescent="0.25">
      <c r="A11" s="91"/>
      <c r="B11" s="90"/>
      <c r="C11" s="90"/>
    </row>
    <row r="12" spans="1:3" x14ac:dyDescent="0.25">
      <c r="A12" s="91"/>
      <c r="B12" s="90"/>
      <c r="C12" s="90"/>
    </row>
    <row r="13" spans="1:3" x14ac:dyDescent="0.25">
      <c r="A13" s="91"/>
      <c r="B13" s="90"/>
      <c r="C13" s="90"/>
    </row>
    <row r="14" spans="1:3" x14ac:dyDescent="0.25">
      <c r="A14" s="91"/>
      <c r="B14" s="90"/>
      <c r="C14" s="90"/>
    </row>
    <row r="15" spans="1:3" x14ac:dyDescent="0.25">
      <c r="A15" s="91"/>
      <c r="B15" s="90"/>
      <c r="C15" s="90"/>
    </row>
    <row r="16" spans="1:3" x14ac:dyDescent="0.25">
      <c r="A16" s="91"/>
      <c r="B16" s="90"/>
      <c r="C16" s="90"/>
    </row>
    <row r="17" spans="1:3" x14ac:dyDescent="0.25">
      <c r="A17" s="91"/>
      <c r="B17" s="90"/>
      <c r="C17" s="90"/>
    </row>
    <row r="18" spans="1:3" x14ac:dyDescent="0.25">
      <c r="A18" s="91"/>
      <c r="B18" s="90"/>
      <c r="C18" s="90"/>
    </row>
    <row r="19" spans="1:3" x14ac:dyDescent="0.25">
      <c r="A19" s="89"/>
      <c r="B19" s="90"/>
      <c r="C19" s="90"/>
    </row>
    <row r="20" spans="1:3" x14ac:dyDescent="0.25">
      <c r="A20" s="89"/>
      <c r="B20" s="90"/>
      <c r="C20" s="90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249977111117893"/>
  </sheetPr>
  <dimension ref="A1:A19"/>
  <sheetViews>
    <sheetView workbookViewId="0">
      <selection activeCell="G22" sqref="G22"/>
    </sheetView>
  </sheetViews>
  <sheetFormatPr defaultColWidth="11.453125" defaultRowHeight="12.5" x14ac:dyDescent="0.25"/>
  <cols>
    <col min="1" max="1" width="30.1796875" style="35" customWidth="1"/>
    <col min="2" max="16384" width="11.453125" style="35"/>
  </cols>
  <sheetData>
    <row r="1" spans="1:1" ht="13" x14ac:dyDescent="0.3">
      <c r="A1" s="40" t="s">
        <v>69</v>
      </c>
    </row>
    <row r="2" spans="1:1" x14ac:dyDescent="0.25">
      <c r="A2" s="48" t="s">
        <v>198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34998626667073579"/>
  </sheetPr>
  <dimension ref="A1:F4"/>
  <sheetViews>
    <sheetView workbookViewId="0">
      <selection activeCell="C4" sqref="C4:F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3.2483492789624999</v>
      </c>
      <c r="C2" s="26">
        <f>'Baseline year population inputs'!C52</f>
        <v>2.92818174116</v>
      </c>
      <c r="D2" s="26">
        <f>'Baseline year population inputs'!C53</f>
        <v>2.92818174116</v>
      </c>
      <c r="E2" s="26">
        <f>'Baseline year population inputs'!C54</f>
        <v>2.5117394004399998</v>
      </c>
      <c r="F2" s="26">
        <f>'Baseline year population inputs'!C55</f>
        <v>2.5117394004399998</v>
      </c>
    </row>
    <row r="3" spans="1:6" ht="15.75" customHeight="1" x14ac:dyDescent="0.25">
      <c r="A3" s="3" t="s">
        <v>65</v>
      </c>
      <c r="B3" s="26">
        <f>frac_mam_1month * 2.6</f>
        <v>0.23140000000000002</v>
      </c>
      <c r="C3" s="26">
        <f>frac_mam_1_5months * 2.6</f>
        <v>0.23140000000000002</v>
      </c>
      <c r="D3" s="26">
        <f>frac_mam_6_11months * 2.6</f>
        <v>0.24960000000000002</v>
      </c>
      <c r="E3" s="26">
        <f>frac_mam_12_23months * 2.6</f>
        <v>0.24960000000000002</v>
      </c>
      <c r="F3" s="26">
        <f>frac_mam_24_59months * 2.6</f>
        <v>0.17680000000000001</v>
      </c>
    </row>
    <row r="4" spans="1:6" ht="15.75" customHeight="1" x14ac:dyDescent="0.25">
      <c r="A4" s="3" t="s">
        <v>66</v>
      </c>
      <c r="B4" s="26">
        <f>frac_sam_1month * 2.6</f>
        <v>0.15079999999999999</v>
      </c>
      <c r="C4" s="26">
        <f>frac_sam_1_5months * 2.6</f>
        <v>0.15079999999999999</v>
      </c>
      <c r="D4" s="26">
        <f>frac_sam_6_11months * 2.6</f>
        <v>0.11440000000000002</v>
      </c>
      <c r="E4" s="26">
        <f>frac_sam_12_23months * 2.6</f>
        <v>9.6200000000000022E-2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A4"/>
  <sheetViews>
    <sheetView workbookViewId="0"/>
  </sheetViews>
  <sheetFormatPr defaultColWidth="11.453125" defaultRowHeight="12.5" x14ac:dyDescent="0.25"/>
  <sheetData>
    <row r="1" spans="1:1" x14ac:dyDescent="0.25">
      <c r="A1" s="12" t="s">
        <v>202</v>
      </c>
    </row>
    <row r="2" spans="1:1" x14ac:dyDescent="0.25">
      <c r="A2" s="12" t="s">
        <v>203</v>
      </c>
    </row>
    <row r="3" spans="1:1" x14ac:dyDescent="0.25">
      <c r="A3" s="12" t="s">
        <v>204</v>
      </c>
    </row>
    <row r="4" spans="1:1" x14ac:dyDescent="0.25">
      <c r="A4" s="12" t="s">
        <v>205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E11"/>
  <sheetViews>
    <sheetView workbookViewId="0">
      <selection activeCell="E3" sqref="E3"/>
    </sheetView>
  </sheetViews>
  <sheetFormatPr defaultColWidth="11.453125" defaultRowHeight="12.5" x14ac:dyDescent="0.25"/>
  <cols>
    <col min="1" max="1" width="33.7265625" style="35" customWidth="1"/>
    <col min="2" max="2" width="12.453125" style="35" customWidth="1"/>
    <col min="3" max="4" width="11.453125" style="35"/>
    <col min="5" max="5" width="17.453125" style="35" customWidth="1"/>
    <col min="6" max="16384" width="11.453125" style="35"/>
  </cols>
  <sheetData>
    <row r="1" spans="1:5" ht="13" x14ac:dyDescent="0.3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4" x14ac:dyDescent="0.3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4" x14ac:dyDescent="0.3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4" x14ac:dyDescent="0.3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4" x14ac:dyDescent="0.3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4" x14ac:dyDescent="0.3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4" x14ac:dyDescent="0.3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4" x14ac:dyDescent="0.3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4" x14ac:dyDescent="0.3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4" x14ac:dyDescent="0.3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P41"/>
  <sheetViews>
    <sheetView zoomScale="50" zoomScaleNormal="50" workbookViewId="0">
      <selection activeCell="J39" sqref="J39"/>
    </sheetView>
  </sheetViews>
  <sheetFormatPr defaultColWidth="16.1796875" defaultRowHeight="15.75" customHeight="1" x14ac:dyDescent="0.35"/>
  <cols>
    <col min="1" max="1" width="22.26953125" style="57" bestFit="1" customWidth="1"/>
    <col min="2" max="2" width="58.81640625" style="57" bestFit="1" customWidth="1"/>
    <col min="3" max="3" width="9.453125" style="57" bestFit="1" customWidth="1"/>
    <col min="4" max="4" width="11.1796875" style="57" bestFit="1" customWidth="1"/>
    <col min="5" max="5" width="12" style="57" bestFit="1" customWidth="1"/>
    <col min="6" max="7" width="13.1796875" style="57" bestFit="1" customWidth="1"/>
    <col min="8" max="11" width="15.26953125" style="57" bestFit="1" customWidth="1"/>
    <col min="12" max="15" width="16.81640625" style="57" bestFit="1" customWidth="1"/>
    <col min="16" max="16384" width="16.1796875" style="57"/>
  </cols>
  <sheetData>
    <row r="1" spans="1:15" ht="15.75" customHeight="1" x14ac:dyDescent="0.35">
      <c r="A1" s="59" t="s">
        <v>33</v>
      </c>
      <c r="B1" s="94" t="s">
        <v>69</v>
      </c>
      <c r="C1" s="59" t="s">
        <v>1</v>
      </c>
      <c r="D1" s="59" t="s">
        <v>2</v>
      </c>
      <c r="E1" s="59" t="s">
        <v>3</v>
      </c>
      <c r="F1" s="59" t="s">
        <v>4</v>
      </c>
      <c r="G1" s="59" t="s">
        <v>5</v>
      </c>
      <c r="H1" s="59" t="s">
        <v>53</v>
      </c>
      <c r="I1" s="59" t="s">
        <v>54</v>
      </c>
      <c r="J1" s="59" t="s">
        <v>55</v>
      </c>
      <c r="K1" s="59" t="s">
        <v>56</v>
      </c>
      <c r="L1" s="59" t="s">
        <v>49</v>
      </c>
      <c r="M1" s="59" t="s">
        <v>50</v>
      </c>
      <c r="N1" s="59" t="s">
        <v>51</v>
      </c>
      <c r="O1" s="59" t="s">
        <v>52</v>
      </c>
    </row>
    <row r="2" spans="1:15" ht="15.75" customHeight="1" x14ac:dyDescent="0.35">
      <c r="A2" s="59" t="s">
        <v>31</v>
      </c>
      <c r="B2" s="52" t="s">
        <v>61</v>
      </c>
      <c r="C2" s="138">
        <v>0</v>
      </c>
      <c r="D2" s="138">
        <v>1</v>
      </c>
      <c r="E2" s="138">
        <v>1</v>
      </c>
      <c r="F2" s="138">
        <v>1</v>
      </c>
      <c r="G2" s="138">
        <v>1</v>
      </c>
      <c r="H2" s="138">
        <v>0</v>
      </c>
      <c r="I2" s="138">
        <v>0</v>
      </c>
      <c r="J2" s="138">
        <v>0</v>
      </c>
      <c r="K2" s="138">
        <v>0</v>
      </c>
      <c r="L2" s="138">
        <v>0</v>
      </c>
      <c r="M2" s="138">
        <v>0</v>
      </c>
      <c r="N2" s="138">
        <v>0</v>
      </c>
      <c r="O2" s="138">
        <v>0</v>
      </c>
    </row>
    <row r="3" spans="1:15" ht="15.75" customHeight="1" x14ac:dyDescent="0.35">
      <c r="B3" s="52" t="s">
        <v>149</v>
      </c>
      <c r="C3" s="138">
        <v>1</v>
      </c>
      <c r="D3" s="138">
        <v>1</v>
      </c>
      <c r="E3" s="138">
        <v>0</v>
      </c>
      <c r="F3" s="138">
        <v>0</v>
      </c>
      <c r="G3" s="138">
        <v>0</v>
      </c>
      <c r="H3" s="138">
        <v>0</v>
      </c>
      <c r="I3" s="138">
        <v>0</v>
      </c>
      <c r="J3" s="138">
        <v>0</v>
      </c>
      <c r="K3" s="138">
        <v>0</v>
      </c>
      <c r="L3" s="138">
        <v>0</v>
      </c>
      <c r="M3" s="138">
        <v>0</v>
      </c>
      <c r="N3" s="138">
        <v>0</v>
      </c>
      <c r="O3" s="138">
        <v>0</v>
      </c>
    </row>
    <row r="4" spans="1:15" ht="15.75" customHeight="1" x14ac:dyDescent="0.35">
      <c r="B4" s="52" t="s">
        <v>173</v>
      </c>
      <c r="C4" s="138">
        <v>1</v>
      </c>
      <c r="D4" s="138">
        <v>1</v>
      </c>
      <c r="E4" s="138">
        <v>1</v>
      </c>
      <c r="F4" s="138">
        <v>1</v>
      </c>
      <c r="G4" s="138">
        <v>1</v>
      </c>
      <c r="H4" s="138">
        <v>0</v>
      </c>
      <c r="I4" s="138">
        <v>0</v>
      </c>
      <c r="J4" s="138">
        <v>0</v>
      </c>
      <c r="K4" s="138">
        <v>0</v>
      </c>
      <c r="L4" s="138">
        <v>0</v>
      </c>
      <c r="M4" s="138">
        <v>0</v>
      </c>
      <c r="N4" s="138">
        <v>0</v>
      </c>
      <c r="O4" s="138">
        <v>0</v>
      </c>
    </row>
    <row r="5" spans="1:15" ht="15.75" customHeight="1" x14ac:dyDescent="0.35">
      <c r="B5" s="52" t="s">
        <v>199</v>
      </c>
      <c r="C5" s="138">
        <v>1</v>
      </c>
      <c r="D5" s="138">
        <v>1</v>
      </c>
      <c r="E5" s="138">
        <v>1</v>
      </c>
      <c r="F5" s="138">
        <v>1</v>
      </c>
      <c r="G5" s="138">
        <v>1</v>
      </c>
      <c r="H5" s="138">
        <v>0</v>
      </c>
      <c r="I5" s="138">
        <v>0</v>
      </c>
      <c r="J5" s="138">
        <v>0</v>
      </c>
      <c r="K5" s="138">
        <v>0</v>
      </c>
      <c r="L5" s="138">
        <v>0</v>
      </c>
      <c r="M5" s="138">
        <v>0</v>
      </c>
      <c r="N5" s="138">
        <v>0</v>
      </c>
      <c r="O5" s="138">
        <v>0</v>
      </c>
    </row>
    <row r="6" spans="1:15" ht="15.75" customHeight="1" x14ac:dyDescent="0.35">
      <c r="B6" s="52" t="s">
        <v>200</v>
      </c>
      <c r="C6" s="138">
        <v>1</v>
      </c>
      <c r="D6" s="138">
        <v>1</v>
      </c>
      <c r="E6" s="138">
        <v>1</v>
      </c>
      <c r="F6" s="138">
        <v>1</v>
      </c>
      <c r="G6" s="138">
        <v>1</v>
      </c>
      <c r="H6" s="138">
        <v>0</v>
      </c>
      <c r="I6" s="138">
        <v>0</v>
      </c>
      <c r="J6" s="138">
        <v>0</v>
      </c>
      <c r="K6" s="138">
        <v>0</v>
      </c>
      <c r="L6" s="138">
        <v>0</v>
      </c>
      <c r="M6" s="138">
        <v>0</v>
      </c>
      <c r="N6" s="138">
        <v>0</v>
      </c>
      <c r="O6" s="138">
        <v>0</v>
      </c>
    </row>
    <row r="7" spans="1:15" ht="15.75" customHeight="1" x14ac:dyDescent="0.35">
      <c r="B7" s="52" t="s">
        <v>196</v>
      </c>
      <c r="C7" s="138">
        <v>1</v>
      </c>
      <c r="D7" s="138">
        <v>1</v>
      </c>
      <c r="E7" s="138">
        <v>0</v>
      </c>
      <c r="F7" s="138">
        <v>0</v>
      </c>
      <c r="G7" s="138">
        <v>0</v>
      </c>
      <c r="H7" s="138">
        <v>0</v>
      </c>
      <c r="I7" s="138">
        <v>0</v>
      </c>
      <c r="J7" s="138">
        <v>0</v>
      </c>
      <c r="K7" s="138">
        <v>0</v>
      </c>
      <c r="L7" s="138">
        <v>0</v>
      </c>
      <c r="M7" s="138">
        <v>0</v>
      </c>
      <c r="N7" s="138">
        <v>0</v>
      </c>
      <c r="O7" s="138">
        <v>0</v>
      </c>
    </row>
    <row r="8" spans="1:15" ht="15.75" customHeight="1" x14ac:dyDescent="0.35">
      <c r="B8" s="52" t="s">
        <v>136</v>
      </c>
      <c r="C8" s="138">
        <v>0</v>
      </c>
      <c r="D8" s="138">
        <v>0</v>
      </c>
      <c r="E8" s="138">
        <v>1</v>
      </c>
      <c r="F8" s="138">
        <v>1</v>
      </c>
      <c r="G8" s="138">
        <v>0</v>
      </c>
      <c r="H8" s="138">
        <v>0</v>
      </c>
      <c r="I8" s="138">
        <v>0</v>
      </c>
      <c r="J8" s="138">
        <v>0</v>
      </c>
      <c r="K8" s="138">
        <v>0</v>
      </c>
      <c r="L8" s="138">
        <v>0</v>
      </c>
      <c r="M8" s="138">
        <v>0</v>
      </c>
      <c r="N8" s="138">
        <v>0</v>
      </c>
      <c r="O8" s="138">
        <v>0</v>
      </c>
    </row>
    <row r="9" spans="1:15" ht="15.75" customHeight="1" x14ac:dyDescent="0.35">
      <c r="B9" s="52" t="s">
        <v>137</v>
      </c>
      <c r="C9" s="138">
        <v>0</v>
      </c>
      <c r="D9" s="138">
        <v>0</v>
      </c>
      <c r="E9" s="138">
        <v>1</v>
      </c>
      <c r="F9" s="138">
        <v>1</v>
      </c>
      <c r="G9" s="138">
        <v>1</v>
      </c>
      <c r="H9" s="138">
        <v>0</v>
      </c>
      <c r="I9" s="138">
        <v>0</v>
      </c>
      <c r="J9" s="138">
        <v>0</v>
      </c>
      <c r="K9" s="138">
        <v>0</v>
      </c>
      <c r="L9" s="138">
        <v>0</v>
      </c>
      <c r="M9" s="138">
        <v>0</v>
      </c>
      <c r="N9" s="138">
        <v>0</v>
      </c>
      <c r="O9" s="138">
        <v>0</v>
      </c>
    </row>
    <row r="10" spans="1:15" ht="15.75" customHeight="1" x14ac:dyDescent="0.35">
      <c r="B10" s="52" t="s">
        <v>84</v>
      </c>
      <c r="C10" s="138">
        <v>1</v>
      </c>
      <c r="D10" s="138">
        <v>1</v>
      </c>
      <c r="E10" s="138">
        <v>1</v>
      </c>
      <c r="F10" s="138">
        <v>1</v>
      </c>
      <c r="G10" s="138">
        <v>1</v>
      </c>
      <c r="H10" s="138">
        <v>0</v>
      </c>
      <c r="I10" s="138">
        <v>0</v>
      </c>
      <c r="J10" s="138">
        <v>0</v>
      </c>
      <c r="K10" s="138">
        <v>0</v>
      </c>
      <c r="L10" s="138">
        <v>0</v>
      </c>
      <c r="M10" s="138">
        <v>0</v>
      </c>
      <c r="N10" s="138">
        <v>0</v>
      </c>
      <c r="O10" s="138">
        <v>0</v>
      </c>
    </row>
    <row r="11" spans="1:15" ht="15.75" customHeight="1" x14ac:dyDescent="0.35">
      <c r="B11" s="52" t="s">
        <v>58</v>
      </c>
      <c r="C11" s="138">
        <v>0</v>
      </c>
      <c r="D11" s="138">
        <v>0</v>
      </c>
      <c r="E11" s="138">
        <v>1</v>
      </c>
      <c r="F11" s="138">
        <v>1</v>
      </c>
      <c r="G11" s="138">
        <v>0</v>
      </c>
      <c r="H11" s="138">
        <v>0</v>
      </c>
      <c r="I11" s="138">
        <v>0</v>
      </c>
      <c r="J11" s="138">
        <v>0</v>
      </c>
      <c r="K11" s="138">
        <v>0</v>
      </c>
      <c r="L11" s="138">
        <v>0</v>
      </c>
      <c r="M11" s="138">
        <v>0</v>
      </c>
      <c r="N11" s="138">
        <v>0</v>
      </c>
      <c r="O11" s="138">
        <v>0</v>
      </c>
    </row>
    <row r="12" spans="1:15" ht="15.75" customHeight="1" x14ac:dyDescent="0.35">
      <c r="B12" s="52" t="s">
        <v>67</v>
      </c>
      <c r="C12" s="138">
        <v>0</v>
      </c>
      <c r="D12" s="138">
        <v>1</v>
      </c>
      <c r="E12" s="138">
        <v>1</v>
      </c>
      <c r="F12" s="138">
        <v>1</v>
      </c>
      <c r="G12" s="138">
        <v>1</v>
      </c>
      <c r="H12" s="138">
        <v>0</v>
      </c>
      <c r="I12" s="138">
        <v>0</v>
      </c>
      <c r="J12" s="138">
        <v>0</v>
      </c>
      <c r="K12" s="138">
        <v>0</v>
      </c>
      <c r="L12" s="138">
        <v>0</v>
      </c>
      <c r="M12" s="138">
        <v>0</v>
      </c>
      <c r="N12" s="138">
        <v>0</v>
      </c>
      <c r="O12" s="138">
        <v>0</v>
      </c>
    </row>
    <row r="13" spans="1:15" ht="15.75" customHeight="1" x14ac:dyDescent="0.35">
      <c r="B13" s="52" t="s">
        <v>28</v>
      </c>
      <c r="C13" s="138">
        <v>0</v>
      </c>
      <c r="D13" s="138">
        <v>0</v>
      </c>
      <c r="E13" s="138">
        <v>1</v>
      </c>
      <c r="F13" s="138">
        <v>1</v>
      </c>
      <c r="G13" s="138">
        <v>1</v>
      </c>
      <c r="H13" s="138">
        <v>0</v>
      </c>
      <c r="I13" s="138">
        <v>0</v>
      </c>
      <c r="J13" s="138">
        <v>0</v>
      </c>
      <c r="K13" s="138">
        <v>0</v>
      </c>
      <c r="L13" s="138">
        <v>0</v>
      </c>
      <c r="M13" s="138">
        <v>0</v>
      </c>
      <c r="N13" s="138">
        <v>0</v>
      </c>
      <c r="O13" s="138">
        <v>0</v>
      </c>
    </row>
    <row r="14" spans="1:15" ht="15.75" customHeight="1" x14ac:dyDescent="0.35">
      <c r="B14" s="52" t="s">
        <v>85</v>
      </c>
      <c r="C14" s="138">
        <v>1</v>
      </c>
      <c r="D14" s="138">
        <v>1</v>
      </c>
      <c r="E14" s="138">
        <v>1</v>
      </c>
      <c r="F14" s="138">
        <v>1</v>
      </c>
      <c r="G14" s="138">
        <v>1</v>
      </c>
      <c r="H14" s="138">
        <v>0</v>
      </c>
      <c r="I14" s="138">
        <v>0</v>
      </c>
      <c r="J14" s="138">
        <v>0</v>
      </c>
      <c r="K14" s="138">
        <v>0</v>
      </c>
      <c r="L14" s="138">
        <v>0</v>
      </c>
      <c r="M14" s="138">
        <v>0</v>
      </c>
      <c r="N14" s="138">
        <v>0</v>
      </c>
      <c r="O14" s="138">
        <v>0</v>
      </c>
    </row>
    <row r="15" spans="1:15" ht="15.75" customHeight="1" x14ac:dyDescent="0.35">
      <c r="B15" s="52" t="s">
        <v>60</v>
      </c>
      <c r="C15" s="138">
        <v>0</v>
      </c>
      <c r="D15" s="138">
        <v>0</v>
      </c>
      <c r="E15" s="138">
        <v>1</v>
      </c>
      <c r="F15" s="138">
        <v>1</v>
      </c>
      <c r="G15" s="138">
        <v>1</v>
      </c>
      <c r="H15" s="138">
        <v>0</v>
      </c>
      <c r="I15" s="138">
        <v>0</v>
      </c>
      <c r="J15" s="138">
        <v>0</v>
      </c>
      <c r="K15" s="138">
        <v>0</v>
      </c>
      <c r="L15" s="138">
        <v>0</v>
      </c>
      <c r="M15" s="138">
        <v>0</v>
      </c>
      <c r="N15" s="138">
        <v>0</v>
      </c>
      <c r="O15" s="138">
        <v>0</v>
      </c>
    </row>
    <row r="16" spans="1:15" ht="15.75" customHeight="1" x14ac:dyDescent="0.35">
      <c r="B16" s="52"/>
      <c r="C16" s="134"/>
      <c r="D16" s="134"/>
      <c r="E16" s="134"/>
      <c r="F16" s="134"/>
      <c r="G16" s="134"/>
      <c r="H16" s="134"/>
      <c r="I16" s="134"/>
      <c r="J16" s="134"/>
      <c r="K16" s="134"/>
      <c r="L16" s="134"/>
      <c r="M16" s="134"/>
      <c r="N16" s="134"/>
      <c r="O16" s="134"/>
    </row>
    <row r="17" spans="1:16" ht="15.75" customHeight="1" x14ac:dyDescent="0.35">
      <c r="A17" s="59" t="s">
        <v>32</v>
      </c>
      <c r="B17" s="52" t="s">
        <v>29</v>
      </c>
      <c r="C17" s="138">
        <v>0</v>
      </c>
      <c r="D17" s="138">
        <v>0</v>
      </c>
      <c r="E17" s="138">
        <v>0</v>
      </c>
      <c r="F17" s="138">
        <v>0</v>
      </c>
      <c r="G17" s="138">
        <v>0</v>
      </c>
      <c r="H17" s="138">
        <v>1</v>
      </c>
      <c r="I17" s="138">
        <v>1</v>
      </c>
      <c r="J17" s="138">
        <v>1</v>
      </c>
      <c r="K17" s="138">
        <v>1</v>
      </c>
      <c r="L17" s="138">
        <v>0</v>
      </c>
      <c r="M17" s="138">
        <v>0</v>
      </c>
      <c r="N17" s="138">
        <v>0</v>
      </c>
      <c r="O17" s="138">
        <v>0</v>
      </c>
    </row>
    <row r="18" spans="1:16" ht="15.75" customHeight="1" x14ac:dyDescent="0.35">
      <c r="A18" s="59"/>
      <c r="B18" s="52" t="s">
        <v>86</v>
      </c>
      <c r="C18" s="138">
        <v>0</v>
      </c>
      <c r="D18" s="138">
        <v>0</v>
      </c>
      <c r="E18" s="138">
        <v>0</v>
      </c>
      <c r="F18" s="138">
        <v>0</v>
      </c>
      <c r="G18" s="138">
        <v>0</v>
      </c>
      <c r="H18" s="138">
        <v>1</v>
      </c>
      <c r="I18" s="138">
        <v>1</v>
      </c>
      <c r="J18" s="138">
        <v>1</v>
      </c>
      <c r="K18" s="138">
        <v>1</v>
      </c>
      <c r="L18" s="138">
        <v>0</v>
      </c>
      <c r="M18" s="138">
        <v>0</v>
      </c>
      <c r="N18" s="138">
        <v>0</v>
      </c>
      <c r="O18" s="138">
        <v>0</v>
      </c>
    </row>
    <row r="19" spans="1:16" ht="15.75" customHeight="1" x14ac:dyDescent="0.35">
      <c r="B19" s="95" t="s">
        <v>187</v>
      </c>
      <c r="C19" s="138">
        <v>0</v>
      </c>
      <c r="D19" s="138">
        <v>0</v>
      </c>
      <c r="E19" s="138">
        <v>0</v>
      </c>
      <c r="F19" s="138">
        <v>0</v>
      </c>
      <c r="G19" s="138">
        <v>0</v>
      </c>
      <c r="H19" s="138">
        <v>1</v>
      </c>
      <c r="I19" s="138">
        <v>1</v>
      </c>
      <c r="J19" s="138">
        <v>1</v>
      </c>
      <c r="K19" s="138">
        <v>1</v>
      </c>
      <c r="L19" s="138">
        <v>0</v>
      </c>
      <c r="M19" s="138">
        <v>0</v>
      </c>
      <c r="N19" s="138">
        <v>0</v>
      </c>
      <c r="O19" s="138">
        <v>0</v>
      </c>
    </row>
    <row r="20" spans="1:16" ht="15.75" customHeight="1" x14ac:dyDescent="0.35">
      <c r="B20" s="95" t="s">
        <v>209</v>
      </c>
      <c r="C20" s="138">
        <v>0</v>
      </c>
      <c r="D20" s="138">
        <v>0</v>
      </c>
      <c r="E20" s="138">
        <v>0</v>
      </c>
      <c r="F20" s="138">
        <v>0</v>
      </c>
      <c r="G20" s="138">
        <v>0</v>
      </c>
      <c r="H20" s="138">
        <v>1</v>
      </c>
      <c r="I20" s="138">
        <v>1</v>
      </c>
      <c r="J20" s="138">
        <v>1</v>
      </c>
      <c r="K20" s="138">
        <v>1</v>
      </c>
      <c r="L20" s="138">
        <v>0</v>
      </c>
      <c r="M20" s="138">
        <v>0</v>
      </c>
      <c r="N20" s="138">
        <v>0</v>
      </c>
      <c r="O20" s="138">
        <v>0</v>
      </c>
    </row>
    <row r="21" spans="1:16" ht="15.75" customHeight="1" x14ac:dyDescent="0.35">
      <c r="B21" s="96" t="s">
        <v>57</v>
      </c>
      <c r="C21" s="138">
        <v>0</v>
      </c>
      <c r="D21" s="138">
        <v>0</v>
      </c>
      <c r="E21" s="138">
        <v>0</v>
      </c>
      <c r="F21" s="138">
        <v>0</v>
      </c>
      <c r="G21" s="138">
        <v>0</v>
      </c>
      <c r="H21" s="138">
        <v>1</v>
      </c>
      <c r="I21" s="138">
        <v>1</v>
      </c>
      <c r="J21" s="138">
        <v>1</v>
      </c>
      <c r="K21" s="138">
        <v>1</v>
      </c>
      <c r="L21" s="138">
        <v>0</v>
      </c>
      <c r="M21" s="138">
        <v>0</v>
      </c>
      <c r="N21" s="138">
        <v>0</v>
      </c>
      <c r="O21" s="138">
        <v>0</v>
      </c>
    </row>
    <row r="22" spans="1:16" ht="15.75" customHeight="1" x14ac:dyDescent="0.35">
      <c r="B22" s="52" t="s">
        <v>88</v>
      </c>
      <c r="C22" s="138">
        <v>0</v>
      </c>
      <c r="D22" s="138">
        <v>0</v>
      </c>
      <c r="E22" s="138">
        <v>0</v>
      </c>
      <c r="F22" s="138">
        <v>0</v>
      </c>
      <c r="G22" s="138">
        <v>0</v>
      </c>
      <c r="H22" s="138">
        <v>1</v>
      </c>
      <c r="I22" s="138">
        <v>1</v>
      </c>
      <c r="J22" s="138">
        <v>1</v>
      </c>
      <c r="K22" s="138">
        <v>1</v>
      </c>
      <c r="L22" s="138">
        <v>0</v>
      </c>
      <c r="M22" s="138">
        <v>0</v>
      </c>
      <c r="N22" s="138">
        <v>0</v>
      </c>
      <c r="O22" s="138">
        <v>0</v>
      </c>
    </row>
    <row r="23" spans="1:16" ht="15.75" customHeight="1" x14ac:dyDescent="0.35">
      <c r="B23" s="52" t="s">
        <v>87</v>
      </c>
      <c r="C23" s="138">
        <v>0</v>
      </c>
      <c r="D23" s="138">
        <v>0</v>
      </c>
      <c r="E23" s="138">
        <v>0</v>
      </c>
      <c r="F23" s="138">
        <v>0</v>
      </c>
      <c r="G23" s="138">
        <v>0</v>
      </c>
      <c r="H23" s="138">
        <v>1</v>
      </c>
      <c r="I23" s="138">
        <v>1</v>
      </c>
      <c r="J23" s="138">
        <v>1</v>
      </c>
      <c r="K23" s="138">
        <v>1</v>
      </c>
      <c r="L23" s="138">
        <v>0</v>
      </c>
      <c r="M23" s="138">
        <v>0</v>
      </c>
      <c r="N23" s="138">
        <v>0</v>
      </c>
      <c r="O23" s="138">
        <v>0</v>
      </c>
    </row>
    <row r="24" spans="1:16" ht="15.75" customHeight="1" x14ac:dyDescent="0.35">
      <c r="B24" s="52" t="s">
        <v>59</v>
      </c>
      <c r="C24" s="138">
        <v>0</v>
      </c>
      <c r="D24" s="138">
        <v>0</v>
      </c>
      <c r="E24" s="138">
        <v>0</v>
      </c>
      <c r="F24" s="138">
        <v>0</v>
      </c>
      <c r="G24" s="138">
        <v>0</v>
      </c>
      <c r="H24" s="138">
        <v>1</v>
      </c>
      <c r="I24" s="138">
        <v>1</v>
      </c>
      <c r="J24" s="138">
        <v>1</v>
      </c>
      <c r="K24" s="138">
        <v>1</v>
      </c>
      <c r="L24" s="138">
        <v>0</v>
      </c>
      <c r="M24" s="138">
        <v>0</v>
      </c>
      <c r="N24" s="138">
        <v>0</v>
      </c>
      <c r="O24" s="138">
        <v>0</v>
      </c>
    </row>
    <row r="25" spans="1:16" ht="15.75" customHeight="1" x14ac:dyDescent="0.35">
      <c r="B25" s="52"/>
      <c r="C25" s="134"/>
      <c r="D25" s="134"/>
      <c r="E25" s="134"/>
      <c r="F25" s="134"/>
      <c r="G25" s="134"/>
      <c r="H25" s="134"/>
      <c r="I25" s="134"/>
      <c r="J25" s="134"/>
      <c r="K25" s="134"/>
      <c r="L25" s="134"/>
      <c r="M25" s="134"/>
      <c r="N25" s="134"/>
      <c r="O25" s="134"/>
    </row>
    <row r="26" spans="1:16" ht="16.149999999999999" customHeight="1" x14ac:dyDescent="0.35">
      <c r="A26" s="59" t="s">
        <v>37</v>
      </c>
      <c r="B26" s="52" t="s">
        <v>198</v>
      </c>
      <c r="C26" s="138">
        <v>0</v>
      </c>
      <c r="D26" s="138">
        <v>0</v>
      </c>
      <c r="E26" s="138">
        <v>0</v>
      </c>
      <c r="F26" s="138">
        <v>0</v>
      </c>
      <c r="G26" s="138">
        <v>0</v>
      </c>
      <c r="H26" s="138">
        <v>0</v>
      </c>
      <c r="I26" s="138">
        <v>0</v>
      </c>
      <c r="J26" s="138">
        <v>0</v>
      </c>
      <c r="K26" s="138">
        <v>0</v>
      </c>
      <c r="L26" s="138">
        <v>1</v>
      </c>
      <c r="M26" s="138">
        <v>0</v>
      </c>
      <c r="N26" s="138">
        <v>0</v>
      </c>
      <c r="O26" s="138">
        <v>0</v>
      </c>
      <c r="P26" s="97"/>
    </row>
    <row r="27" spans="1:16" ht="15.75" customHeight="1" x14ac:dyDescent="0.35">
      <c r="B27" s="63" t="s">
        <v>188</v>
      </c>
      <c r="C27" s="138">
        <v>0</v>
      </c>
      <c r="D27" s="138">
        <v>0</v>
      </c>
      <c r="E27" s="138">
        <v>0</v>
      </c>
      <c r="F27" s="138">
        <v>0</v>
      </c>
      <c r="G27" s="138">
        <v>0</v>
      </c>
      <c r="H27" s="138">
        <v>0</v>
      </c>
      <c r="I27" s="138">
        <v>0</v>
      </c>
      <c r="J27" s="138">
        <v>0</v>
      </c>
      <c r="K27" s="138">
        <v>0</v>
      </c>
      <c r="L27" s="138">
        <v>1</v>
      </c>
      <c r="M27" s="138">
        <v>1</v>
      </c>
      <c r="N27" s="138">
        <v>1</v>
      </c>
      <c r="O27" s="138">
        <v>1</v>
      </c>
    </row>
    <row r="28" spans="1:16" ht="15.75" customHeight="1" x14ac:dyDescent="0.35">
      <c r="A28" s="59"/>
      <c r="B28" s="63" t="s">
        <v>208</v>
      </c>
      <c r="C28" s="138">
        <v>0</v>
      </c>
      <c r="D28" s="138">
        <v>0</v>
      </c>
      <c r="E28" s="138">
        <v>0</v>
      </c>
      <c r="F28" s="138">
        <v>0</v>
      </c>
      <c r="G28" s="138">
        <v>0</v>
      </c>
      <c r="H28" s="138">
        <v>0</v>
      </c>
      <c r="I28" s="138">
        <v>0</v>
      </c>
      <c r="J28" s="138">
        <v>0</v>
      </c>
      <c r="K28" s="138">
        <v>0</v>
      </c>
      <c r="L28" s="138">
        <v>1</v>
      </c>
      <c r="M28" s="138">
        <v>1</v>
      </c>
      <c r="N28" s="138">
        <v>1</v>
      </c>
      <c r="O28" s="138">
        <v>1</v>
      </c>
    </row>
    <row r="29" spans="1:16" ht="15.75" customHeight="1" x14ac:dyDescent="0.35">
      <c r="B29" s="63" t="s">
        <v>189</v>
      </c>
      <c r="C29" s="138">
        <v>0</v>
      </c>
      <c r="D29" s="138">
        <v>0</v>
      </c>
      <c r="E29" s="138">
        <v>0</v>
      </c>
      <c r="F29" s="138">
        <v>0</v>
      </c>
      <c r="G29" s="138">
        <v>0</v>
      </c>
      <c r="H29" s="138">
        <v>0</v>
      </c>
      <c r="I29" s="138">
        <v>0</v>
      </c>
      <c r="J29" s="138">
        <v>0</v>
      </c>
      <c r="K29" s="138">
        <v>0</v>
      </c>
      <c r="L29" s="138">
        <v>1</v>
      </c>
      <c r="M29" s="138">
        <v>1</v>
      </c>
      <c r="N29" s="138">
        <v>1</v>
      </c>
      <c r="O29" s="138">
        <v>1</v>
      </c>
    </row>
    <row r="30" spans="1:16" ht="15.75" customHeight="1" x14ac:dyDescent="0.35">
      <c r="B30" s="63" t="s">
        <v>190</v>
      </c>
      <c r="C30" s="138">
        <v>0</v>
      </c>
      <c r="D30" s="138">
        <v>0</v>
      </c>
      <c r="E30" s="138">
        <v>0</v>
      </c>
      <c r="F30" s="138">
        <v>0</v>
      </c>
      <c r="G30" s="138">
        <v>0</v>
      </c>
      <c r="H30" s="138">
        <v>0</v>
      </c>
      <c r="I30" s="138">
        <v>0</v>
      </c>
      <c r="J30" s="138">
        <v>0</v>
      </c>
      <c r="K30" s="138">
        <v>0</v>
      </c>
      <c r="L30" s="138">
        <v>1</v>
      </c>
      <c r="M30" s="138">
        <v>0</v>
      </c>
      <c r="N30" s="138">
        <v>0</v>
      </c>
      <c r="O30" s="138">
        <v>0</v>
      </c>
    </row>
    <row r="31" spans="1:16" ht="15.75" customHeight="1" x14ac:dyDescent="0.35">
      <c r="B31" s="52"/>
      <c r="C31" s="135"/>
      <c r="D31" s="135"/>
      <c r="E31" s="136"/>
      <c r="F31" s="136"/>
      <c r="G31" s="136"/>
      <c r="H31" s="136"/>
      <c r="I31" s="136"/>
      <c r="J31" s="134"/>
      <c r="K31" s="134"/>
      <c r="L31" s="134"/>
      <c r="M31" s="134"/>
      <c r="N31" s="134"/>
      <c r="O31" s="134"/>
    </row>
    <row r="32" spans="1:16" ht="15.75" customHeight="1" x14ac:dyDescent="0.35">
      <c r="A32" s="59" t="s">
        <v>35</v>
      </c>
      <c r="B32" s="52" t="s">
        <v>63</v>
      </c>
      <c r="C32" s="138">
        <v>1</v>
      </c>
      <c r="D32" s="138">
        <v>0</v>
      </c>
      <c r="E32" s="138">
        <v>1</v>
      </c>
      <c r="F32" s="138">
        <v>1</v>
      </c>
      <c r="G32" s="138">
        <v>1</v>
      </c>
      <c r="H32" s="138">
        <v>1</v>
      </c>
      <c r="I32" s="138">
        <v>1</v>
      </c>
      <c r="J32" s="138">
        <v>1</v>
      </c>
      <c r="K32" s="138">
        <v>1</v>
      </c>
      <c r="L32" s="138">
        <v>1</v>
      </c>
      <c r="M32" s="138">
        <v>1</v>
      </c>
      <c r="N32" s="138">
        <v>1</v>
      </c>
      <c r="O32" s="138">
        <v>1</v>
      </c>
    </row>
    <row r="33" spans="1:15" ht="15.75" customHeight="1" x14ac:dyDescent="0.35">
      <c r="B33" s="52" t="s">
        <v>64</v>
      </c>
      <c r="C33" s="138">
        <v>1</v>
      </c>
      <c r="D33" s="138">
        <v>0</v>
      </c>
      <c r="E33" s="138">
        <v>1</v>
      </c>
      <c r="F33" s="138">
        <v>1</v>
      </c>
      <c r="G33" s="138">
        <v>1</v>
      </c>
      <c r="H33" s="138">
        <v>1</v>
      </c>
      <c r="I33" s="138">
        <v>1</v>
      </c>
      <c r="J33" s="138">
        <v>1</v>
      </c>
      <c r="K33" s="138">
        <v>1</v>
      </c>
      <c r="L33" s="138">
        <v>1</v>
      </c>
      <c r="M33" s="138">
        <v>1</v>
      </c>
      <c r="N33" s="138">
        <v>1</v>
      </c>
      <c r="O33" s="138">
        <v>1</v>
      </c>
    </row>
    <row r="34" spans="1:15" ht="15.75" customHeight="1" x14ac:dyDescent="0.35">
      <c r="B34" s="52" t="s">
        <v>62</v>
      </c>
      <c r="C34" s="138">
        <v>1</v>
      </c>
      <c r="D34" s="138">
        <v>0</v>
      </c>
      <c r="E34" s="138">
        <v>1</v>
      </c>
      <c r="F34" s="138">
        <v>1</v>
      </c>
      <c r="G34" s="138">
        <v>1</v>
      </c>
      <c r="H34" s="138">
        <v>1</v>
      </c>
      <c r="I34" s="138">
        <v>1</v>
      </c>
      <c r="J34" s="138">
        <v>1</v>
      </c>
      <c r="K34" s="138">
        <v>1</v>
      </c>
      <c r="L34" s="138">
        <v>1</v>
      </c>
      <c r="M34" s="138">
        <v>1</v>
      </c>
      <c r="N34" s="138">
        <v>1</v>
      </c>
      <c r="O34" s="138">
        <v>1</v>
      </c>
    </row>
    <row r="35" spans="1:15" ht="15.75" customHeight="1" x14ac:dyDescent="0.35">
      <c r="B35" s="52" t="s">
        <v>47</v>
      </c>
      <c r="C35" s="138">
        <v>1</v>
      </c>
      <c r="D35" s="138">
        <v>0</v>
      </c>
      <c r="E35" s="138">
        <v>1</v>
      </c>
      <c r="F35" s="138">
        <v>1</v>
      </c>
      <c r="G35" s="138">
        <v>1</v>
      </c>
      <c r="H35" s="138">
        <v>1</v>
      </c>
      <c r="I35" s="138">
        <v>1</v>
      </c>
      <c r="J35" s="138">
        <v>1</v>
      </c>
      <c r="K35" s="138">
        <v>1</v>
      </c>
      <c r="L35" s="138">
        <v>1</v>
      </c>
      <c r="M35" s="138">
        <v>1</v>
      </c>
      <c r="N35" s="138">
        <v>1</v>
      </c>
      <c r="O35" s="138">
        <v>1</v>
      </c>
    </row>
    <row r="36" spans="1:15" ht="15.75" customHeight="1" x14ac:dyDescent="0.35">
      <c r="B36" s="52" t="s">
        <v>34</v>
      </c>
      <c r="C36" s="138">
        <v>1</v>
      </c>
      <c r="D36" s="138">
        <v>1</v>
      </c>
      <c r="E36" s="138">
        <v>1</v>
      </c>
      <c r="F36" s="138">
        <v>1</v>
      </c>
      <c r="G36" s="138">
        <v>1</v>
      </c>
      <c r="H36" s="138">
        <v>1</v>
      </c>
      <c r="I36" s="138">
        <v>1</v>
      </c>
      <c r="J36" s="138">
        <v>1</v>
      </c>
      <c r="K36" s="138">
        <v>1</v>
      </c>
      <c r="L36" s="138">
        <v>1</v>
      </c>
      <c r="M36" s="138">
        <v>1</v>
      </c>
      <c r="N36" s="138">
        <v>1</v>
      </c>
      <c r="O36" s="138">
        <v>1</v>
      </c>
    </row>
    <row r="37" spans="1:15" ht="15.75" customHeight="1" x14ac:dyDescent="0.35">
      <c r="A37" s="98"/>
      <c r="B37" s="52" t="s">
        <v>83</v>
      </c>
      <c r="C37" s="138">
        <v>1</v>
      </c>
      <c r="D37" s="138">
        <v>1</v>
      </c>
      <c r="E37" s="138">
        <v>1</v>
      </c>
      <c r="F37" s="138">
        <v>1</v>
      </c>
      <c r="G37" s="138">
        <v>1</v>
      </c>
      <c r="H37" s="138">
        <v>1</v>
      </c>
      <c r="I37" s="138">
        <v>1</v>
      </c>
      <c r="J37" s="138">
        <v>1</v>
      </c>
      <c r="K37" s="138">
        <v>1</v>
      </c>
      <c r="L37" s="138">
        <v>1</v>
      </c>
      <c r="M37" s="138">
        <v>1</v>
      </c>
      <c r="N37" s="138">
        <v>1</v>
      </c>
      <c r="O37" s="138">
        <v>1</v>
      </c>
    </row>
    <row r="38" spans="1:15" s="98" customFormat="1" ht="15.75" customHeight="1" x14ac:dyDescent="0.35">
      <c r="B38" s="52" t="s">
        <v>82</v>
      </c>
      <c r="C38" s="138">
        <v>1</v>
      </c>
      <c r="D38" s="138">
        <v>1</v>
      </c>
      <c r="E38" s="138">
        <v>1</v>
      </c>
      <c r="F38" s="138">
        <v>1</v>
      </c>
      <c r="G38" s="138">
        <v>1</v>
      </c>
      <c r="H38" s="138">
        <v>1</v>
      </c>
      <c r="I38" s="138">
        <v>1</v>
      </c>
      <c r="J38" s="138">
        <v>1</v>
      </c>
      <c r="K38" s="138">
        <v>1</v>
      </c>
      <c r="L38" s="138">
        <v>1</v>
      </c>
      <c r="M38" s="138">
        <v>1</v>
      </c>
      <c r="N38" s="138">
        <v>1</v>
      </c>
      <c r="O38" s="138">
        <v>1</v>
      </c>
    </row>
    <row r="39" spans="1:15" s="98" customFormat="1" ht="15.75" customHeight="1" x14ac:dyDescent="0.35">
      <c r="B39" s="52" t="s">
        <v>81</v>
      </c>
      <c r="C39" s="138">
        <v>1</v>
      </c>
      <c r="D39" s="138">
        <v>1</v>
      </c>
      <c r="E39" s="138">
        <v>1</v>
      </c>
      <c r="F39" s="138">
        <v>1</v>
      </c>
      <c r="G39" s="138">
        <v>1</v>
      </c>
      <c r="H39" s="138">
        <v>1</v>
      </c>
      <c r="I39" s="138">
        <v>1</v>
      </c>
      <c r="J39" s="138">
        <v>1</v>
      </c>
      <c r="K39" s="138">
        <v>1</v>
      </c>
      <c r="L39" s="138">
        <v>1</v>
      </c>
      <c r="M39" s="138">
        <v>1</v>
      </c>
      <c r="N39" s="138">
        <v>1</v>
      </c>
      <c r="O39" s="138">
        <v>1</v>
      </c>
    </row>
    <row r="40" spans="1:15" s="98" customFormat="1" ht="15.75" customHeight="1" x14ac:dyDescent="0.35">
      <c r="B40" s="52" t="s">
        <v>79</v>
      </c>
      <c r="C40" s="138">
        <v>1</v>
      </c>
      <c r="D40" s="138">
        <v>1</v>
      </c>
      <c r="E40" s="138">
        <v>1</v>
      </c>
      <c r="F40" s="138">
        <v>1</v>
      </c>
      <c r="G40" s="138">
        <v>1</v>
      </c>
      <c r="H40" s="138">
        <v>1</v>
      </c>
      <c r="I40" s="138">
        <v>1</v>
      </c>
      <c r="J40" s="138">
        <v>1</v>
      </c>
      <c r="K40" s="138">
        <v>1</v>
      </c>
      <c r="L40" s="138">
        <v>1</v>
      </c>
      <c r="M40" s="138">
        <v>1</v>
      </c>
      <c r="N40" s="138">
        <v>1</v>
      </c>
      <c r="O40" s="138">
        <v>1</v>
      </c>
    </row>
    <row r="41" spans="1:15" ht="15" customHeight="1" x14ac:dyDescent="0.35">
      <c r="B41" s="52" t="s">
        <v>80</v>
      </c>
      <c r="C41" s="138">
        <v>1</v>
      </c>
      <c r="D41" s="138">
        <v>1</v>
      </c>
      <c r="E41" s="138">
        <v>1</v>
      </c>
      <c r="F41" s="138">
        <v>1</v>
      </c>
      <c r="G41" s="138">
        <v>1</v>
      </c>
      <c r="H41" s="138">
        <v>1</v>
      </c>
      <c r="I41" s="138">
        <v>1</v>
      </c>
      <c r="J41" s="138">
        <v>1</v>
      </c>
      <c r="K41" s="138">
        <v>1</v>
      </c>
      <c r="L41" s="138">
        <v>1</v>
      </c>
      <c r="M41" s="138">
        <v>1</v>
      </c>
      <c r="N41" s="138">
        <v>1</v>
      </c>
      <c r="O41" s="138">
        <v>1</v>
      </c>
    </row>
  </sheetData>
  <sheetProtection algorithmName="SHA-512" hashValue="UTAD6hDPFf/Ul0P2TkEmcVLwJIskng6BwO7PQn9KQppd8AxlpMXDzh2uUA/A2vdLAdLHbrkvLJZl/FHFHl0BRA==" saltValue="WyzBb18fC4LyksUq9iofgA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38"/>
  <sheetViews>
    <sheetView workbookViewId="0">
      <selection activeCell="F8" sqref="F8"/>
    </sheetView>
  </sheetViews>
  <sheetFormatPr defaultColWidth="12.7265625" defaultRowHeight="12.5" x14ac:dyDescent="0.25"/>
  <cols>
    <col min="1" max="1" width="58.81640625" style="35" bestFit="1" customWidth="1"/>
    <col min="2" max="2" width="8.7265625" style="35" bestFit="1" customWidth="1"/>
    <col min="3" max="3" width="8.81640625" style="35" bestFit="1" customWidth="1"/>
    <col min="4" max="4" width="18.26953125" style="35" bestFit="1" customWidth="1"/>
    <col min="5" max="5" width="17.453125" style="35" bestFit="1" customWidth="1"/>
    <col min="6" max="6" width="13.54296875" style="35" bestFit="1" customWidth="1"/>
    <col min="7" max="7" width="9.7265625" style="35" bestFit="1" customWidth="1"/>
    <col min="8" max="8" width="8.81640625" style="35" bestFit="1" customWidth="1"/>
    <col min="9" max="9" width="14.7265625" style="35" bestFit="1" customWidth="1"/>
    <col min="10" max="10" width="15.26953125" style="35" bestFit="1" customWidth="1"/>
    <col min="11" max="16384" width="12.7265625" style="35"/>
  </cols>
  <sheetData>
    <row r="1" spans="1:11" ht="13" x14ac:dyDescent="0.3">
      <c r="A1" s="40" t="s">
        <v>69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52" t="s">
        <v>29</v>
      </c>
      <c r="B2" s="138"/>
      <c r="C2" s="138"/>
      <c r="D2" s="138"/>
      <c r="E2" s="138"/>
      <c r="F2" s="138"/>
      <c r="G2" s="138"/>
      <c r="H2" s="138"/>
      <c r="I2" s="138" t="s">
        <v>194</v>
      </c>
      <c r="J2" s="138"/>
      <c r="K2" s="138"/>
    </row>
    <row r="3" spans="1:11" x14ac:dyDescent="0.25">
      <c r="A3" s="52" t="s">
        <v>86</v>
      </c>
      <c r="B3" s="138"/>
      <c r="C3" s="138"/>
      <c r="D3" s="138"/>
      <c r="E3" s="138"/>
      <c r="F3" s="138"/>
      <c r="G3" s="138"/>
      <c r="H3" s="138" t="s">
        <v>194</v>
      </c>
      <c r="I3" s="138"/>
      <c r="J3" s="138"/>
      <c r="K3" s="138"/>
    </row>
    <row r="4" spans="1:11" x14ac:dyDescent="0.25">
      <c r="A4" s="52" t="s">
        <v>61</v>
      </c>
      <c r="B4" s="138"/>
      <c r="C4" s="138"/>
      <c r="D4" s="138" t="s">
        <v>194</v>
      </c>
      <c r="E4" s="138"/>
      <c r="F4" s="138"/>
      <c r="G4" s="138"/>
      <c r="H4" s="138"/>
      <c r="I4" s="138"/>
      <c r="J4" s="138"/>
      <c r="K4" s="138"/>
    </row>
    <row r="5" spans="1:11" x14ac:dyDescent="0.25">
      <c r="A5" s="52" t="s">
        <v>149</v>
      </c>
      <c r="B5" s="138"/>
      <c r="C5" s="138" t="s">
        <v>194</v>
      </c>
      <c r="D5" s="138"/>
      <c r="E5" s="138"/>
      <c r="F5" s="138"/>
      <c r="G5" s="138"/>
      <c r="H5" s="138"/>
      <c r="I5" s="138"/>
      <c r="J5" s="138"/>
      <c r="K5" s="138"/>
    </row>
    <row r="6" spans="1:11" x14ac:dyDescent="0.25">
      <c r="A6" s="52" t="s">
        <v>198</v>
      </c>
      <c r="B6" s="138"/>
      <c r="C6" s="138"/>
      <c r="D6" s="138"/>
      <c r="E6" s="138"/>
      <c r="F6" s="138"/>
      <c r="G6" s="138"/>
      <c r="H6" s="138"/>
      <c r="I6" s="138"/>
      <c r="J6" s="138" t="s">
        <v>194</v>
      </c>
      <c r="K6" s="138" t="s">
        <v>194</v>
      </c>
    </row>
    <row r="7" spans="1:11" x14ac:dyDescent="0.25">
      <c r="A7" s="52" t="s">
        <v>63</v>
      </c>
      <c r="B7" s="138"/>
      <c r="C7" s="138" t="s">
        <v>194</v>
      </c>
      <c r="D7" s="138"/>
      <c r="E7" s="138"/>
      <c r="F7" s="138"/>
      <c r="G7" s="138"/>
      <c r="H7" s="138" t="s">
        <v>194</v>
      </c>
      <c r="I7" s="138"/>
      <c r="J7" s="138"/>
      <c r="K7" s="138"/>
    </row>
    <row r="8" spans="1:11" x14ac:dyDescent="0.25">
      <c r="A8" s="52" t="s">
        <v>64</v>
      </c>
      <c r="B8" s="138"/>
      <c r="C8" s="138" t="s">
        <v>194</v>
      </c>
      <c r="D8" s="138"/>
      <c r="E8" s="138"/>
      <c r="F8" s="138"/>
      <c r="G8" s="138"/>
      <c r="H8" s="138" t="s">
        <v>194</v>
      </c>
      <c r="I8" s="138"/>
      <c r="J8" s="138"/>
      <c r="K8" s="138"/>
    </row>
    <row r="9" spans="1:11" x14ac:dyDescent="0.25">
      <c r="A9" s="52" t="s">
        <v>62</v>
      </c>
      <c r="B9" s="138"/>
      <c r="C9" s="138" t="s">
        <v>194</v>
      </c>
      <c r="D9" s="138"/>
      <c r="E9" s="138"/>
      <c r="F9" s="138"/>
      <c r="G9" s="138"/>
      <c r="H9" s="138" t="s">
        <v>194</v>
      </c>
      <c r="I9" s="138"/>
      <c r="J9" s="138"/>
      <c r="K9" s="138"/>
    </row>
    <row r="10" spans="1:11" x14ac:dyDescent="0.25">
      <c r="A10" s="63" t="s">
        <v>188</v>
      </c>
      <c r="B10" s="138"/>
      <c r="C10" s="138" t="s">
        <v>194</v>
      </c>
      <c r="D10" s="138"/>
      <c r="E10" s="138"/>
      <c r="F10" s="138"/>
      <c r="G10" s="138"/>
      <c r="H10" s="138"/>
      <c r="I10" s="138"/>
      <c r="J10" s="138"/>
      <c r="K10" s="138"/>
    </row>
    <row r="11" spans="1:11" x14ac:dyDescent="0.25">
      <c r="A11" s="63" t="s">
        <v>208</v>
      </c>
      <c r="B11" s="138"/>
      <c r="C11" s="138" t="s">
        <v>194</v>
      </c>
      <c r="D11" s="138"/>
      <c r="E11" s="138"/>
      <c r="F11" s="138"/>
      <c r="G11" s="138"/>
      <c r="H11" s="138"/>
      <c r="I11" s="138"/>
      <c r="J11" s="138"/>
      <c r="K11" s="138"/>
    </row>
    <row r="12" spans="1:11" x14ac:dyDescent="0.25">
      <c r="A12" s="63" t="s">
        <v>189</v>
      </c>
      <c r="B12" s="138"/>
      <c r="C12" s="138" t="s">
        <v>194</v>
      </c>
      <c r="D12" s="138"/>
      <c r="E12" s="138"/>
      <c r="F12" s="138"/>
      <c r="G12" s="138"/>
      <c r="H12" s="138"/>
      <c r="I12" s="138"/>
      <c r="J12" s="138"/>
      <c r="K12" s="138"/>
    </row>
    <row r="13" spans="1:11" x14ac:dyDescent="0.25">
      <c r="A13" s="63" t="s">
        <v>190</v>
      </c>
      <c r="B13" s="138"/>
      <c r="C13" s="138" t="s">
        <v>194</v>
      </c>
      <c r="D13" s="138"/>
      <c r="E13" s="138"/>
      <c r="F13" s="138"/>
      <c r="G13" s="138"/>
      <c r="H13" s="138"/>
      <c r="I13" s="138"/>
      <c r="J13" s="138"/>
      <c r="K13" s="138"/>
    </row>
    <row r="14" spans="1:11" x14ac:dyDescent="0.25">
      <c r="A14" s="95" t="s">
        <v>187</v>
      </c>
      <c r="B14" s="138"/>
      <c r="C14" s="138" t="s">
        <v>194</v>
      </c>
      <c r="D14" s="138"/>
      <c r="E14" s="138"/>
      <c r="F14" s="138"/>
      <c r="G14" s="138"/>
      <c r="H14" s="138"/>
      <c r="I14" s="138" t="s">
        <v>194</v>
      </c>
      <c r="J14" s="138"/>
      <c r="K14" s="138"/>
    </row>
    <row r="15" spans="1:11" x14ac:dyDescent="0.25">
      <c r="A15" s="95" t="s">
        <v>209</v>
      </c>
      <c r="B15" s="138"/>
      <c r="C15" s="138" t="s">
        <v>194</v>
      </c>
      <c r="D15" s="138"/>
      <c r="E15" s="138"/>
      <c r="F15" s="138"/>
      <c r="G15" s="138"/>
      <c r="H15" s="138"/>
      <c r="I15" s="138" t="s">
        <v>194</v>
      </c>
      <c r="J15" s="138"/>
      <c r="K15" s="138"/>
    </row>
    <row r="16" spans="1:11" x14ac:dyDescent="0.25">
      <c r="A16" s="52" t="s">
        <v>57</v>
      </c>
      <c r="B16" s="138"/>
      <c r="C16" s="138" t="s">
        <v>194</v>
      </c>
      <c r="D16" s="138"/>
      <c r="E16" s="138"/>
      <c r="F16" s="138"/>
      <c r="G16" s="138"/>
      <c r="H16" s="138" t="s">
        <v>194</v>
      </c>
      <c r="I16" s="138" t="s">
        <v>194</v>
      </c>
      <c r="J16" s="138"/>
      <c r="K16" s="138"/>
    </row>
    <row r="17" spans="1:11" x14ac:dyDescent="0.25">
      <c r="A17" s="52" t="s">
        <v>47</v>
      </c>
      <c r="B17" s="138"/>
      <c r="C17" s="138" t="s">
        <v>194</v>
      </c>
      <c r="D17" s="138"/>
      <c r="E17" s="138"/>
      <c r="F17" s="138"/>
      <c r="G17" s="138"/>
      <c r="H17" s="138"/>
      <c r="I17" s="138"/>
      <c r="J17" s="138"/>
      <c r="K17" s="138"/>
    </row>
    <row r="18" spans="1:11" x14ac:dyDescent="0.25">
      <c r="A18" s="52" t="s">
        <v>173</v>
      </c>
      <c r="B18" s="138" t="s">
        <v>194</v>
      </c>
      <c r="C18" s="138"/>
      <c r="D18" s="138"/>
      <c r="E18" s="138"/>
      <c r="F18" s="138" t="s">
        <v>194</v>
      </c>
      <c r="G18" s="138"/>
      <c r="H18" s="138"/>
      <c r="I18" s="138"/>
      <c r="J18" s="138"/>
      <c r="K18" s="138"/>
    </row>
    <row r="19" spans="1:11" x14ac:dyDescent="0.25">
      <c r="A19" s="52" t="s">
        <v>199</v>
      </c>
      <c r="B19" s="138" t="s">
        <v>194</v>
      </c>
      <c r="C19" s="138"/>
      <c r="D19" s="138"/>
      <c r="E19" s="138"/>
      <c r="F19" s="138" t="s">
        <v>194</v>
      </c>
      <c r="G19" s="138"/>
      <c r="H19" s="138"/>
      <c r="I19" s="138"/>
      <c r="J19" s="138"/>
      <c r="K19" s="138"/>
    </row>
    <row r="20" spans="1:11" x14ac:dyDescent="0.25">
      <c r="A20" s="52" t="s">
        <v>200</v>
      </c>
      <c r="B20" s="138" t="s">
        <v>194</v>
      </c>
      <c r="C20" s="138"/>
      <c r="D20" s="138"/>
      <c r="E20" s="138"/>
      <c r="F20" s="138" t="s">
        <v>194</v>
      </c>
      <c r="G20" s="138"/>
      <c r="H20" s="138"/>
      <c r="I20" s="138"/>
      <c r="J20" s="138"/>
      <c r="K20" s="138"/>
    </row>
    <row r="21" spans="1:11" x14ac:dyDescent="0.25">
      <c r="A21" s="52" t="s">
        <v>196</v>
      </c>
      <c r="B21" s="138"/>
      <c r="C21" s="138"/>
      <c r="D21" s="138"/>
      <c r="E21" s="138"/>
      <c r="F21" s="138"/>
      <c r="G21" s="138"/>
      <c r="H21" s="138" t="s">
        <v>194</v>
      </c>
      <c r="I21" s="138" t="s">
        <v>194</v>
      </c>
      <c r="J21" s="138"/>
      <c r="K21" s="138"/>
    </row>
    <row r="22" spans="1:11" x14ac:dyDescent="0.25">
      <c r="A22" s="52" t="s">
        <v>136</v>
      </c>
      <c r="B22" s="138" t="s">
        <v>194</v>
      </c>
      <c r="C22" s="138" t="s">
        <v>194</v>
      </c>
      <c r="D22" s="138" t="s">
        <v>194</v>
      </c>
      <c r="E22" s="138"/>
      <c r="F22" s="138"/>
      <c r="G22" s="138"/>
      <c r="H22" s="138"/>
      <c r="I22" s="138"/>
      <c r="J22" s="138"/>
      <c r="K22" s="138"/>
    </row>
    <row r="23" spans="1:11" x14ac:dyDescent="0.25">
      <c r="A23" s="52" t="s">
        <v>34</v>
      </c>
      <c r="B23" s="138"/>
      <c r="C23" s="138" t="s">
        <v>194</v>
      </c>
      <c r="D23" s="138"/>
      <c r="E23" s="138"/>
      <c r="F23" s="138"/>
      <c r="G23" s="138"/>
      <c r="H23" s="138"/>
      <c r="I23" s="138" t="s">
        <v>194</v>
      </c>
      <c r="J23" s="138"/>
      <c r="K23" s="138"/>
    </row>
    <row r="24" spans="1:11" x14ac:dyDescent="0.25">
      <c r="A24" s="52" t="s">
        <v>88</v>
      </c>
      <c r="B24" s="138"/>
      <c r="C24" s="138"/>
      <c r="D24" s="138"/>
      <c r="E24" s="138"/>
      <c r="F24" s="138"/>
      <c r="G24" s="138"/>
      <c r="H24" s="138" t="s">
        <v>194</v>
      </c>
      <c r="I24" s="138"/>
      <c r="J24" s="138"/>
      <c r="K24" s="138"/>
    </row>
    <row r="25" spans="1:11" x14ac:dyDescent="0.25">
      <c r="A25" s="52" t="s">
        <v>87</v>
      </c>
      <c r="B25" s="138"/>
      <c r="C25" s="138"/>
      <c r="D25" s="138"/>
      <c r="E25" s="138"/>
      <c r="F25" s="138"/>
      <c r="G25" s="138"/>
      <c r="H25" s="138" t="s">
        <v>194</v>
      </c>
      <c r="I25" s="138"/>
      <c r="J25" s="138"/>
      <c r="K25" s="138"/>
    </row>
    <row r="26" spans="1:11" x14ac:dyDescent="0.25">
      <c r="A26" s="52" t="s">
        <v>137</v>
      </c>
      <c r="B26" s="138"/>
      <c r="C26" s="138" t="s">
        <v>194</v>
      </c>
      <c r="D26" s="138"/>
      <c r="E26" s="138"/>
      <c r="F26" s="138"/>
      <c r="G26" s="138"/>
      <c r="H26" s="138"/>
      <c r="I26" s="138"/>
      <c r="J26" s="138"/>
      <c r="K26" s="138"/>
    </row>
    <row r="27" spans="1:11" x14ac:dyDescent="0.25">
      <c r="A27" s="52" t="s">
        <v>59</v>
      </c>
      <c r="B27" s="138"/>
      <c r="C27" s="138" t="s">
        <v>194</v>
      </c>
      <c r="D27" s="138"/>
      <c r="E27" s="138"/>
      <c r="F27" s="138"/>
      <c r="G27" s="138"/>
      <c r="H27" s="138"/>
      <c r="I27" s="138" t="s">
        <v>194</v>
      </c>
      <c r="J27" s="138"/>
      <c r="K27" s="138"/>
    </row>
    <row r="28" spans="1:11" x14ac:dyDescent="0.25">
      <c r="A28" s="52" t="s">
        <v>84</v>
      </c>
      <c r="B28" s="138"/>
      <c r="C28" s="138"/>
      <c r="D28" s="138"/>
      <c r="E28" s="138"/>
      <c r="F28" s="138"/>
      <c r="G28" s="138"/>
      <c r="H28" s="138" t="s">
        <v>194</v>
      </c>
      <c r="I28" s="138"/>
      <c r="J28" s="138"/>
      <c r="K28" s="138"/>
    </row>
    <row r="29" spans="1:11" x14ac:dyDescent="0.25">
      <c r="A29" s="52" t="s">
        <v>58</v>
      </c>
      <c r="B29" s="138" t="s">
        <v>194</v>
      </c>
      <c r="C29" s="138"/>
      <c r="D29" s="138" t="s">
        <v>194</v>
      </c>
      <c r="E29" s="138"/>
      <c r="F29" s="138"/>
      <c r="G29" s="138"/>
      <c r="H29" s="138"/>
      <c r="I29" s="138"/>
      <c r="J29" s="138"/>
      <c r="K29" s="138"/>
    </row>
    <row r="30" spans="1:11" x14ac:dyDescent="0.25">
      <c r="A30" s="52" t="s">
        <v>67</v>
      </c>
      <c r="B30" s="138"/>
      <c r="C30" s="138"/>
      <c r="D30" s="138"/>
      <c r="E30" s="138" t="s">
        <v>194</v>
      </c>
      <c r="F30" s="138"/>
      <c r="G30" s="138"/>
      <c r="H30" s="138"/>
      <c r="I30" s="138"/>
      <c r="J30" s="138"/>
      <c r="K30" s="138"/>
    </row>
    <row r="31" spans="1:11" x14ac:dyDescent="0.25">
      <c r="A31" s="52" t="s">
        <v>28</v>
      </c>
      <c r="B31" s="138"/>
      <c r="C31" s="138"/>
      <c r="D31" s="138"/>
      <c r="E31" s="138"/>
      <c r="F31" s="138"/>
      <c r="G31" s="138" t="s">
        <v>194</v>
      </c>
      <c r="H31" s="138" t="s">
        <v>194</v>
      </c>
      <c r="I31" s="138"/>
      <c r="J31" s="138"/>
      <c r="K31" s="138"/>
    </row>
    <row r="32" spans="1:11" x14ac:dyDescent="0.25">
      <c r="A32" s="52" t="s">
        <v>83</v>
      </c>
      <c r="B32" s="138"/>
      <c r="C32" s="138"/>
      <c r="D32" s="138"/>
      <c r="E32" s="138"/>
      <c r="F32" s="138"/>
      <c r="G32" s="138" t="s">
        <v>194</v>
      </c>
      <c r="H32" s="138" t="s">
        <v>194</v>
      </c>
      <c r="I32" s="138"/>
      <c r="J32" s="138"/>
      <c r="K32" s="138"/>
    </row>
    <row r="33" spans="1:11" x14ac:dyDescent="0.25">
      <c r="A33" s="52" t="s">
        <v>82</v>
      </c>
      <c r="B33" s="138"/>
      <c r="C33" s="138"/>
      <c r="D33" s="138"/>
      <c r="E33" s="138"/>
      <c r="F33" s="138"/>
      <c r="G33" s="138" t="s">
        <v>194</v>
      </c>
      <c r="H33" s="138" t="s">
        <v>194</v>
      </c>
      <c r="I33" s="138"/>
      <c r="J33" s="138"/>
      <c r="K33" s="138"/>
    </row>
    <row r="34" spans="1:11" x14ac:dyDescent="0.25">
      <c r="A34" s="52" t="s">
        <v>81</v>
      </c>
      <c r="B34" s="138"/>
      <c r="C34" s="138"/>
      <c r="D34" s="138"/>
      <c r="E34" s="138"/>
      <c r="F34" s="138"/>
      <c r="G34" s="138" t="s">
        <v>194</v>
      </c>
      <c r="H34" s="138" t="s">
        <v>194</v>
      </c>
      <c r="I34" s="138"/>
      <c r="J34" s="138"/>
      <c r="K34" s="138"/>
    </row>
    <row r="35" spans="1:11" x14ac:dyDescent="0.25">
      <c r="A35" s="52" t="s">
        <v>79</v>
      </c>
      <c r="B35" s="138"/>
      <c r="C35" s="138"/>
      <c r="D35" s="138"/>
      <c r="E35" s="138"/>
      <c r="F35" s="138"/>
      <c r="G35" s="138" t="s">
        <v>194</v>
      </c>
      <c r="H35" s="138" t="s">
        <v>194</v>
      </c>
      <c r="I35" s="138"/>
      <c r="J35" s="138"/>
      <c r="K35" s="138"/>
    </row>
    <row r="36" spans="1:11" x14ac:dyDescent="0.25">
      <c r="A36" s="52" t="s">
        <v>80</v>
      </c>
      <c r="B36" s="138"/>
      <c r="C36" s="138"/>
      <c r="D36" s="138"/>
      <c r="E36" s="138"/>
      <c r="F36" s="138"/>
      <c r="G36" s="138" t="s">
        <v>194</v>
      </c>
      <c r="H36" s="138" t="s">
        <v>194</v>
      </c>
      <c r="I36" s="138"/>
      <c r="J36" s="138"/>
      <c r="K36" s="138"/>
    </row>
    <row r="37" spans="1:11" x14ac:dyDescent="0.25">
      <c r="A37" s="52" t="s">
        <v>85</v>
      </c>
      <c r="B37" s="138"/>
      <c r="C37" s="138"/>
      <c r="D37" s="138"/>
      <c r="E37" s="138"/>
      <c r="F37" s="138"/>
      <c r="G37" s="138"/>
      <c r="H37" s="138" t="s">
        <v>194</v>
      </c>
      <c r="I37" s="138"/>
      <c r="J37" s="138"/>
      <c r="K37" s="138"/>
    </row>
    <row r="38" spans="1:11" x14ac:dyDescent="0.25">
      <c r="A38" s="52" t="s">
        <v>60</v>
      </c>
      <c r="B38" s="138" t="s">
        <v>194</v>
      </c>
      <c r="C38" s="138"/>
      <c r="D38" s="138"/>
      <c r="E38" s="138"/>
      <c r="F38" s="138"/>
      <c r="G38" s="138" t="s">
        <v>194</v>
      </c>
      <c r="H38" s="138" t="s">
        <v>194</v>
      </c>
      <c r="I38" s="138"/>
      <c r="J38" s="138"/>
      <c r="K38" s="138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K14"/>
  <sheetViews>
    <sheetView workbookViewId="0">
      <selection activeCell="F8" sqref="F8"/>
    </sheetView>
  </sheetViews>
  <sheetFormatPr defaultColWidth="12.7265625" defaultRowHeight="12.5" x14ac:dyDescent="0.25"/>
  <cols>
    <col min="1" max="1" width="16.81640625" style="35" bestFit="1" customWidth="1"/>
    <col min="2" max="2" width="8.7265625" style="35" bestFit="1" customWidth="1"/>
    <col min="3" max="3" width="8.81640625" style="35" bestFit="1" customWidth="1"/>
    <col min="4" max="4" width="18.26953125" style="35" bestFit="1" customWidth="1"/>
    <col min="5" max="5" width="17.453125" style="35" bestFit="1" customWidth="1"/>
    <col min="6" max="6" width="13.54296875" style="35" bestFit="1" customWidth="1"/>
    <col min="7" max="7" width="9.7265625" style="35" bestFit="1" customWidth="1"/>
    <col min="8" max="8" width="8.81640625" style="35" bestFit="1" customWidth="1"/>
    <col min="9" max="9" width="14.7265625" style="35" bestFit="1" customWidth="1"/>
    <col min="10" max="10" width="15.26953125" style="35" bestFit="1" customWidth="1"/>
    <col min="11" max="16384" width="12.7265625" style="35"/>
  </cols>
  <sheetData>
    <row r="1" spans="1:11" ht="13" x14ac:dyDescent="0.3">
      <c r="A1" s="40" t="s">
        <v>218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35" t="s">
        <v>1</v>
      </c>
      <c r="B2" s="138" t="s">
        <v>194</v>
      </c>
      <c r="C2" s="138" t="s">
        <v>194</v>
      </c>
      <c r="D2" s="138" t="s">
        <v>194</v>
      </c>
      <c r="E2" s="138" t="s">
        <v>194</v>
      </c>
      <c r="F2" s="138" t="s">
        <v>194</v>
      </c>
      <c r="G2" s="138" t="s">
        <v>194</v>
      </c>
      <c r="H2" s="138" t="s">
        <v>194</v>
      </c>
      <c r="I2" s="138"/>
      <c r="J2" s="138"/>
      <c r="K2" s="138"/>
    </row>
    <row r="3" spans="1:11" x14ac:dyDescent="0.25">
      <c r="A3" s="35" t="s">
        <v>2</v>
      </c>
      <c r="B3" s="138" t="s">
        <v>194</v>
      </c>
      <c r="C3" s="138" t="s">
        <v>194</v>
      </c>
      <c r="D3" s="138" t="s">
        <v>194</v>
      </c>
      <c r="E3" s="138" t="s">
        <v>194</v>
      </c>
      <c r="F3" s="138" t="s">
        <v>194</v>
      </c>
      <c r="G3" s="138" t="s">
        <v>194</v>
      </c>
      <c r="H3" s="138" t="s">
        <v>194</v>
      </c>
      <c r="I3" s="138"/>
      <c r="J3" s="138"/>
      <c r="K3" s="138"/>
    </row>
    <row r="4" spans="1:11" x14ac:dyDescent="0.25">
      <c r="A4" s="35" t="s">
        <v>3</v>
      </c>
      <c r="B4" s="138" t="s">
        <v>194</v>
      </c>
      <c r="C4" s="138" t="s">
        <v>194</v>
      </c>
      <c r="D4" s="138" t="s">
        <v>194</v>
      </c>
      <c r="E4" s="138" t="s">
        <v>194</v>
      </c>
      <c r="F4" s="138" t="s">
        <v>194</v>
      </c>
      <c r="G4" s="138" t="s">
        <v>194</v>
      </c>
      <c r="H4" s="138" t="s">
        <v>194</v>
      </c>
      <c r="I4" s="138"/>
      <c r="J4" s="138"/>
      <c r="K4" s="138"/>
    </row>
    <row r="5" spans="1:11" x14ac:dyDescent="0.25">
      <c r="A5" s="35" t="s">
        <v>4</v>
      </c>
      <c r="B5" s="138" t="s">
        <v>194</v>
      </c>
      <c r="C5" s="138" t="s">
        <v>194</v>
      </c>
      <c r="D5" s="138" t="s">
        <v>194</v>
      </c>
      <c r="E5" s="138" t="s">
        <v>194</v>
      </c>
      <c r="F5" s="138" t="s">
        <v>194</v>
      </c>
      <c r="G5" s="138" t="s">
        <v>194</v>
      </c>
      <c r="H5" s="138" t="s">
        <v>194</v>
      </c>
      <c r="I5" s="138"/>
      <c r="J5" s="138"/>
      <c r="K5" s="138"/>
    </row>
    <row r="6" spans="1:11" x14ac:dyDescent="0.25">
      <c r="A6" s="35" t="s">
        <v>5</v>
      </c>
      <c r="B6" s="138" t="s">
        <v>194</v>
      </c>
      <c r="C6" s="138" t="s">
        <v>194</v>
      </c>
      <c r="D6" s="138" t="s">
        <v>194</v>
      </c>
      <c r="E6" s="138" t="s">
        <v>194</v>
      </c>
      <c r="F6" s="138" t="s">
        <v>194</v>
      </c>
      <c r="G6" s="138" t="s">
        <v>194</v>
      </c>
      <c r="H6" s="138" t="s">
        <v>194</v>
      </c>
      <c r="I6" s="138"/>
      <c r="J6" s="138"/>
      <c r="K6" s="138"/>
    </row>
    <row r="7" spans="1:11" x14ac:dyDescent="0.25">
      <c r="A7" s="35" t="s">
        <v>53</v>
      </c>
      <c r="B7" s="138"/>
      <c r="C7" s="138" t="s">
        <v>194</v>
      </c>
      <c r="D7" s="138"/>
      <c r="E7" s="138"/>
      <c r="F7" s="138"/>
      <c r="G7" s="138"/>
      <c r="H7" s="138" t="s">
        <v>194</v>
      </c>
      <c r="I7" s="138" t="s">
        <v>194</v>
      </c>
      <c r="J7" s="138"/>
      <c r="K7" s="138"/>
    </row>
    <row r="8" spans="1:11" x14ac:dyDescent="0.25">
      <c r="A8" s="35" t="s">
        <v>54</v>
      </c>
      <c r="B8" s="138"/>
      <c r="C8" s="138" t="s">
        <v>194</v>
      </c>
      <c r="D8" s="138"/>
      <c r="E8" s="138"/>
      <c r="F8" s="138"/>
      <c r="G8" s="138"/>
      <c r="H8" s="138" t="s">
        <v>194</v>
      </c>
      <c r="I8" s="138" t="s">
        <v>194</v>
      </c>
      <c r="J8" s="138"/>
      <c r="K8" s="138"/>
    </row>
    <row r="9" spans="1:11" x14ac:dyDescent="0.25">
      <c r="A9" s="35" t="s">
        <v>55</v>
      </c>
      <c r="B9" s="138"/>
      <c r="C9" s="138" t="s">
        <v>194</v>
      </c>
      <c r="D9" s="138"/>
      <c r="E9" s="138"/>
      <c r="F9" s="138"/>
      <c r="G9" s="138"/>
      <c r="H9" s="138" t="s">
        <v>194</v>
      </c>
      <c r="I9" s="138" t="s">
        <v>194</v>
      </c>
      <c r="J9" s="138"/>
      <c r="K9" s="138"/>
    </row>
    <row r="10" spans="1:11" x14ac:dyDescent="0.25">
      <c r="A10" s="35" t="s">
        <v>56</v>
      </c>
      <c r="B10" s="138"/>
      <c r="C10" s="138" t="s">
        <v>194</v>
      </c>
      <c r="D10" s="138"/>
      <c r="E10" s="138"/>
      <c r="F10" s="138"/>
      <c r="G10" s="138"/>
      <c r="H10" s="138" t="s">
        <v>194</v>
      </c>
      <c r="I10" s="138" t="s">
        <v>194</v>
      </c>
      <c r="J10" s="138"/>
      <c r="K10" s="138"/>
    </row>
    <row r="11" spans="1:11" x14ac:dyDescent="0.25">
      <c r="A11" s="35" t="s">
        <v>49</v>
      </c>
      <c r="B11" s="138"/>
      <c r="C11" s="138" t="s">
        <v>194</v>
      </c>
      <c r="D11" s="138"/>
      <c r="E11" s="138"/>
      <c r="F11" s="138"/>
      <c r="G11" s="138"/>
      <c r="H11" s="138"/>
      <c r="I11" s="138"/>
      <c r="J11" s="138" t="s">
        <v>194</v>
      </c>
      <c r="K11" s="138" t="s">
        <v>194</v>
      </c>
    </row>
    <row r="12" spans="1:11" x14ac:dyDescent="0.25">
      <c r="A12" s="35" t="s">
        <v>50</v>
      </c>
      <c r="B12" s="138"/>
      <c r="C12" s="138" t="s">
        <v>194</v>
      </c>
      <c r="D12" s="138"/>
      <c r="E12" s="138"/>
      <c r="F12" s="138"/>
      <c r="G12" s="138"/>
      <c r="H12" s="138"/>
      <c r="I12" s="138"/>
      <c r="J12" s="138"/>
      <c r="K12" s="138" t="s">
        <v>194</v>
      </c>
    </row>
    <row r="13" spans="1:11" x14ac:dyDescent="0.25">
      <c r="A13" s="35" t="s">
        <v>51</v>
      </c>
      <c r="B13" s="138"/>
      <c r="C13" s="138" t="s">
        <v>194</v>
      </c>
      <c r="D13" s="138"/>
      <c r="E13" s="138"/>
      <c r="F13" s="138"/>
      <c r="G13" s="138"/>
      <c r="H13" s="138"/>
      <c r="I13" s="138"/>
      <c r="J13" s="138"/>
      <c r="K13" s="138" t="s">
        <v>194</v>
      </c>
    </row>
    <row r="14" spans="1:11" x14ac:dyDescent="0.25">
      <c r="A14" s="35" t="s">
        <v>52</v>
      </c>
      <c r="B14" s="138"/>
      <c r="C14" s="138" t="s">
        <v>194</v>
      </c>
      <c r="D14" s="138"/>
      <c r="E14" s="138"/>
      <c r="F14" s="138"/>
      <c r="G14" s="138"/>
      <c r="H14" s="138"/>
      <c r="I14" s="138"/>
      <c r="J14" s="138"/>
      <c r="K14" s="138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C19" sqref="C19"/>
    </sheetView>
  </sheetViews>
  <sheetFormatPr defaultColWidth="14.453125" defaultRowHeight="15.75" customHeight="1" x14ac:dyDescent="0.25"/>
  <cols>
    <col min="1" max="1" width="8.453125" style="12" customWidth="1"/>
    <col min="2" max="9" width="16.81640625" style="12" customWidth="1"/>
    <col min="10" max="16384" width="14.453125" style="12"/>
  </cols>
  <sheetData>
    <row r="1" spans="1:9" s="21" customFormat="1" ht="30" customHeight="1" x14ac:dyDescent="0.3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2017</v>
      </c>
      <c r="B2" s="77">
        <v>2509.2030559999998</v>
      </c>
      <c r="C2" s="78">
        <v>6106</v>
      </c>
      <c r="D2" s="78">
        <v>10498</v>
      </c>
      <c r="E2" s="78">
        <v>6389</v>
      </c>
      <c r="F2" s="78">
        <v>3382</v>
      </c>
      <c r="G2" s="22">
        <f t="shared" ref="G2:G40" si="0">C2+D2+E2+F2</f>
        <v>26375</v>
      </c>
      <c r="H2" s="22">
        <f t="shared" ref="H2:H40" si="1">(B2 + stillbirth*B2/(1000-stillbirth))/(1-abortion)</f>
        <v>2936.4095333721857</v>
      </c>
      <c r="I2" s="22">
        <f>G2-H2</f>
        <v>23438.590466627815</v>
      </c>
    </row>
    <row r="3" spans="1:9" ht="15.75" customHeight="1" x14ac:dyDescent="0.25">
      <c r="A3" s="7">
        <f t="shared" ref="A3:A40" si="2">IF($A$2+ROW(A3)-2&lt;=end_year,A2+1,"")</f>
        <v>2018</v>
      </c>
      <c r="B3" s="77">
        <v>2522.3406666666665</v>
      </c>
      <c r="C3" s="78">
        <v>6000</v>
      </c>
      <c r="D3" s="78">
        <v>10600</v>
      </c>
      <c r="E3" s="78">
        <v>6700</v>
      </c>
      <c r="F3" s="78">
        <v>3300</v>
      </c>
      <c r="G3" s="22">
        <f t="shared" si="0"/>
        <v>26600</v>
      </c>
      <c r="H3" s="22">
        <f t="shared" si="1"/>
        <v>2951.7838989959982</v>
      </c>
      <c r="I3" s="22">
        <f t="shared" ref="I3:I15" si="3">G3-H3</f>
        <v>23648.216101004</v>
      </c>
    </row>
    <row r="4" spans="1:9" ht="15.75" customHeight="1" x14ac:dyDescent="0.25">
      <c r="A4" s="7">
        <f t="shared" si="2"/>
        <v>2019</v>
      </c>
      <c r="B4" s="77">
        <v>2548.4546666666665</v>
      </c>
      <c r="C4" s="78">
        <v>5900</v>
      </c>
      <c r="D4" s="78">
        <v>10800</v>
      </c>
      <c r="E4" s="78">
        <v>7000</v>
      </c>
      <c r="F4" s="78">
        <v>3300</v>
      </c>
      <c r="G4" s="22">
        <f t="shared" si="0"/>
        <v>27000</v>
      </c>
      <c r="H4" s="22">
        <f t="shared" si="1"/>
        <v>2982.3439600365427</v>
      </c>
      <c r="I4" s="22">
        <f t="shared" si="3"/>
        <v>24017.656039963458</v>
      </c>
    </row>
    <row r="5" spans="1:9" ht="15.75" customHeight="1" x14ac:dyDescent="0.25">
      <c r="A5" s="7">
        <f t="shared" si="2"/>
        <v>2020</v>
      </c>
      <c r="B5" s="77">
        <v>2574.6120000000001</v>
      </c>
      <c r="C5" s="78">
        <v>5800</v>
      </c>
      <c r="D5" s="78">
        <v>10900</v>
      </c>
      <c r="E5" s="78">
        <v>7200</v>
      </c>
      <c r="F5" s="78">
        <v>3300</v>
      </c>
      <c r="G5" s="22">
        <f t="shared" si="0"/>
        <v>27200</v>
      </c>
      <c r="H5" s="22">
        <f t="shared" si="1"/>
        <v>3012.9547321635455</v>
      </c>
      <c r="I5" s="22">
        <f t="shared" si="3"/>
        <v>24187.045267836453</v>
      </c>
    </row>
    <row r="6" spans="1:9" ht="15.75" customHeight="1" x14ac:dyDescent="0.25">
      <c r="A6" s="7">
        <f t="shared" si="2"/>
        <v>2021</v>
      </c>
      <c r="B6" s="77">
        <v>2584.1284000000001</v>
      </c>
      <c r="C6" s="78">
        <v>5700</v>
      </c>
      <c r="D6" s="78">
        <v>11000</v>
      </c>
      <c r="E6" s="78">
        <v>7400</v>
      </c>
      <c r="F6" s="78">
        <v>3400</v>
      </c>
      <c r="G6" s="22">
        <f t="shared" si="0"/>
        <v>27500</v>
      </c>
      <c r="H6" s="22">
        <f t="shared" si="1"/>
        <v>3024.0913548519979</v>
      </c>
      <c r="I6" s="22">
        <f t="shared" si="3"/>
        <v>24475.908645148003</v>
      </c>
    </row>
    <row r="7" spans="1:9" ht="15.75" customHeight="1" x14ac:dyDescent="0.25">
      <c r="A7" s="7">
        <f t="shared" si="2"/>
        <v>2022</v>
      </c>
      <c r="B7" s="77">
        <v>2569.8057999999996</v>
      </c>
      <c r="C7" s="78">
        <v>5500</v>
      </c>
      <c r="D7" s="78">
        <v>11000</v>
      </c>
      <c r="E7" s="78">
        <v>7700</v>
      </c>
      <c r="F7" s="78">
        <v>3700</v>
      </c>
      <c r="G7" s="22">
        <f t="shared" si="0"/>
        <v>27900</v>
      </c>
      <c r="H7" s="22">
        <f t="shared" si="1"/>
        <v>3007.3302485389349</v>
      </c>
      <c r="I7" s="22">
        <f t="shared" si="3"/>
        <v>24892.669751461064</v>
      </c>
    </row>
    <row r="8" spans="1:9" ht="15.75" customHeight="1" x14ac:dyDescent="0.25">
      <c r="A8" s="7">
        <f t="shared" si="2"/>
        <v>2023</v>
      </c>
      <c r="B8" s="77">
        <v>2578.9279999999999</v>
      </c>
      <c r="C8" s="78">
        <v>5400</v>
      </c>
      <c r="D8" s="78">
        <v>10900</v>
      </c>
      <c r="E8" s="78">
        <v>7900</v>
      </c>
      <c r="F8" s="78">
        <v>4000</v>
      </c>
      <c r="G8" s="22">
        <f t="shared" si="0"/>
        <v>28200</v>
      </c>
      <c r="H8" s="22">
        <f t="shared" si="1"/>
        <v>3018.0055563747346</v>
      </c>
      <c r="I8" s="22">
        <f t="shared" si="3"/>
        <v>25181.994443625266</v>
      </c>
    </row>
    <row r="9" spans="1:9" ht="15.75" customHeight="1" x14ac:dyDescent="0.25">
      <c r="A9" s="7">
        <f t="shared" si="2"/>
        <v>2024</v>
      </c>
      <c r="B9" s="77">
        <v>2587.7874000000002</v>
      </c>
      <c r="C9" s="78">
        <v>5400</v>
      </c>
      <c r="D9" s="78">
        <v>10900</v>
      </c>
      <c r="E9" s="78">
        <v>8100</v>
      </c>
      <c r="F9" s="78">
        <v>4400</v>
      </c>
      <c r="G9" s="22">
        <f t="shared" si="0"/>
        <v>28800</v>
      </c>
      <c r="H9" s="22">
        <f t="shared" si="1"/>
        <v>3028.3733209754319</v>
      </c>
      <c r="I9" s="22">
        <f t="shared" si="3"/>
        <v>25771.626679024568</v>
      </c>
    </row>
    <row r="10" spans="1:9" ht="15.75" customHeight="1" x14ac:dyDescent="0.25">
      <c r="A10" s="7">
        <f t="shared" si="2"/>
        <v>2025</v>
      </c>
      <c r="B10" s="77">
        <v>2596.384</v>
      </c>
      <c r="C10" s="78">
        <v>5300</v>
      </c>
      <c r="D10" s="78">
        <v>10700</v>
      </c>
      <c r="E10" s="78">
        <v>8300</v>
      </c>
      <c r="F10" s="78">
        <v>4700</v>
      </c>
      <c r="G10" s="22">
        <f t="shared" si="0"/>
        <v>29000</v>
      </c>
      <c r="H10" s="22">
        <f t="shared" si="1"/>
        <v>3038.4335423410266</v>
      </c>
      <c r="I10" s="22">
        <f t="shared" si="3"/>
        <v>25961.566457658973</v>
      </c>
    </row>
    <row r="11" spans="1:9" ht="15.75" customHeight="1" x14ac:dyDescent="0.25">
      <c r="A11" s="7">
        <f t="shared" si="2"/>
        <v>2026</v>
      </c>
      <c r="B11" s="77">
        <v>2581.2363999999998</v>
      </c>
      <c r="C11" s="78">
        <v>5200</v>
      </c>
      <c r="D11" s="78">
        <v>10600</v>
      </c>
      <c r="E11" s="78">
        <v>8500</v>
      </c>
      <c r="F11" s="78">
        <v>5000</v>
      </c>
      <c r="G11" s="22">
        <f t="shared" si="0"/>
        <v>29300</v>
      </c>
      <c r="H11" s="22">
        <f t="shared" si="1"/>
        <v>3020.7069749588654</v>
      </c>
      <c r="I11" s="22">
        <f t="shared" si="3"/>
        <v>26279.293025041134</v>
      </c>
    </row>
    <row r="12" spans="1:9" ht="15.75" customHeight="1" x14ac:dyDescent="0.25">
      <c r="A12" s="7">
        <f t="shared" si="2"/>
        <v>2027</v>
      </c>
      <c r="B12" s="77">
        <v>2565.4104000000002</v>
      </c>
      <c r="C12" s="78">
        <v>5200</v>
      </c>
      <c r="D12" s="78">
        <v>10500</v>
      </c>
      <c r="E12" s="78">
        <v>8800</v>
      </c>
      <c r="F12" s="78">
        <v>5400</v>
      </c>
      <c r="G12" s="22">
        <f t="shared" si="0"/>
        <v>29900</v>
      </c>
      <c r="H12" s="22">
        <f t="shared" si="1"/>
        <v>3002.1865060139448</v>
      </c>
      <c r="I12" s="22">
        <f t="shared" si="3"/>
        <v>26897.813493986054</v>
      </c>
    </row>
    <row r="13" spans="1:9" ht="15.75" customHeight="1" x14ac:dyDescent="0.25">
      <c r="A13" s="7">
        <f t="shared" si="2"/>
        <v>2028</v>
      </c>
      <c r="B13" s="77">
        <v>2548.9060000000004</v>
      </c>
      <c r="C13" s="78">
        <v>5200</v>
      </c>
      <c r="D13" s="78">
        <v>10300</v>
      </c>
      <c r="E13" s="78">
        <v>9100</v>
      </c>
      <c r="F13" s="78">
        <v>5700</v>
      </c>
      <c r="G13" s="22">
        <f t="shared" si="0"/>
        <v>30300</v>
      </c>
      <c r="H13" s="22">
        <f t="shared" si="1"/>
        <v>2982.8721355062648</v>
      </c>
      <c r="I13" s="22">
        <f t="shared" si="3"/>
        <v>27317.127864493734</v>
      </c>
    </row>
    <row r="14" spans="1:9" ht="15.75" customHeight="1" x14ac:dyDescent="0.25">
      <c r="A14" s="7">
        <f t="shared" si="2"/>
        <v>2029</v>
      </c>
      <c r="B14" s="77">
        <v>2531.7232000000008</v>
      </c>
      <c r="C14" s="78">
        <v>5200</v>
      </c>
      <c r="D14" s="78">
        <v>10200</v>
      </c>
      <c r="E14" s="78">
        <v>9300</v>
      </c>
      <c r="F14" s="78">
        <v>6000</v>
      </c>
      <c r="G14" s="22">
        <f t="shared" si="0"/>
        <v>30700</v>
      </c>
      <c r="H14" s="22">
        <f t="shared" si="1"/>
        <v>2962.7638634358254</v>
      </c>
      <c r="I14" s="22">
        <f t="shared" si="3"/>
        <v>27737.236136564174</v>
      </c>
    </row>
    <row r="15" spans="1:9" ht="15.75" customHeight="1" x14ac:dyDescent="0.25">
      <c r="A15" s="7">
        <f t="shared" si="2"/>
        <v>2030</v>
      </c>
      <c r="B15" s="77">
        <v>2513.8620000000001</v>
      </c>
      <c r="C15" s="78">
        <v>5200</v>
      </c>
      <c r="D15" s="78">
        <v>10000</v>
      </c>
      <c r="E15" s="78">
        <v>9400</v>
      </c>
      <c r="F15" s="78">
        <v>6300</v>
      </c>
      <c r="G15" s="22">
        <f t="shared" si="0"/>
        <v>30900</v>
      </c>
      <c r="H15" s="22">
        <f t="shared" si="1"/>
        <v>2941.8616898026248</v>
      </c>
      <c r="I15" s="22">
        <f t="shared" si="3"/>
        <v>27958.138310197377</v>
      </c>
    </row>
    <row r="16" spans="1:9" ht="15.75" customHeight="1" x14ac:dyDescent="0.25">
      <c r="A16" s="7" t="str">
        <f t="shared" si="2"/>
        <v/>
      </c>
      <c r="B16" s="77"/>
      <c r="C16" s="78"/>
      <c r="D16" s="78"/>
      <c r="E16" s="78"/>
      <c r="F16" s="78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7">
        <v>110</v>
      </c>
      <c r="C17" s="77"/>
      <c r="D17" s="78"/>
      <c r="E17" s="78"/>
      <c r="F17" s="78"/>
      <c r="G17" s="22">
        <f t="shared" si="0"/>
        <v>0</v>
      </c>
      <c r="H17" s="22">
        <f t="shared" si="1"/>
        <v>128.72814254652351</v>
      </c>
      <c r="I17" s="22">
        <f t="shared" si="4"/>
        <v>-128.72814254652351</v>
      </c>
    </row>
    <row r="18" spans="1:9" ht="15.75" customHeight="1" x14ac:dyDescent="0.25">
      <c r="A18" s="7" t="str">
        <f t="shared" si="2"/>
        <v/>
      </c>
      <c r="B18" s="77"/>
      <c r="C18" s="78"/>
      <c r="D18" s="78"/>
      <c r="E18" s="78"/>
      <c r="F18" s="78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7"/>
      <c r="C19" s="78"/>
      <c r="D19" s="78"/>
      <c r="E19" s="78"/>
      <c r="F19" s="78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7"/>
      <c r="C20" s="78"/>
      <c r="D20" s="78"/>
      <c r="E20" s="78"/>
      <c r="F20" s="78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7"/>
      <c r="C21" s="78"/>
      <c r="D21" s="78"/>
      <c r="E21" s="78"/>
      <c r="F21" s="78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7"/>
      <c r="C22" s="78"/>
      <c r="D22" s="78"/>
      <c r="E22" s="78"/>
      <c r="F22" s="78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7"/>
      <c r="C23" s="78"/>
      <c r="D23" s="78"/>
      <c r="E23" s="78"/>
      <c r="F23" s="78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7"/>
      <c r="C24" s="78"/>
      <c r="D24" s="78"/>
      <c r="E24" s="78"/>
      <c r="F24" s="78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7"/>
      <c r="C25" s="78"/>
      <c r="D25" s="78"/>
      <c r="E25" s="78"/>
      <c r="F25" s="78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7"/>
      <c r="C26" s="78"/>
      <c r="D26" s="78"/>
      <c r="E26" s="78"/>
      <c r="F26" s="78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7"/>
      <c r="C27" s="78"/>
      <c r="D27" s="78"/>
      <c r="E27" s="78"/>
      <c r="F27" s="78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7"/>
      <c r="C28" s="78"/>
      <c r="D28" s="78"/>
      <c r="E28" s="78"/>
      <c r="F28" s="78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7"/>
      <c r="C29" s="78"/>
      <c r="D29" s="78"/>
      <c r="E29" s="78"/>
      <c r="F29" s="78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7"/>
      <c r="C30" s="78"/>
      <c r="D30" s="78"/>
      <c r="E30" s="78"/>
      <c r="F30" s="78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7"/>
      <c r="C31" s="78"/>
      <c r="D31" s="78"/>
      <c r="E31" s="78"/>
      <c r="F31" s="78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7"/>
      <c r="C32" s="78"/>
      <c r="D32" s="78"/>
      <c r="E32" s="78"/>
      <c r="F32" s="78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7"/>
      <c r="C33" s="78"/>
      <c r="D33" s="78"/>
      <c r="E33" s="78"/>
      <c r="F33" s="78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7"/>
      <c r="C34" s="78"/>
      <c r="D34" s="78"/>
      <c r="E34" s="78"/>
      <c r="F34" s="78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7"/>
      <c r="C35" s="78"/>
      <c r="D35" s="78"/>
      <c r="E35" s="78"/>
      <c r="F35" s="78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7"/>
      <c r="C36" s="78"/>
      <c r="D36" s="78"/>
      <c r="E36" s="78"/>
      <c r="F36" s="78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7"/>
      <c r="C37" s="78"/>
      <c r="D37" s="78"/>
      <c r="E37" s="78"/>
      <c r="F37" s="78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7"/>
      <c r="C38" s="78"/>
      <c r="D38" s="78"/>
      <c r="E38" s="78"/>
      <c r="F38" s="78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7"/>
      <c r="C39" s="78"/>
      <c r="D39" s="78"/>
      <c r="E39" s="78"/>
      <c r="F39" s="78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7"/>
      <c r="C40" s="78"/>
      <c r="D40" s="78"/>
      <c r="E40" s="78"/>
      <c r="F40" s="78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G2:I15 B16:I40">
    <cfRule type="expression" dxfId="1" priority="10">
      <formula>$A2=""</formula>
    </cfRule>
  </conditionalFormatting>
  <conditionalFormatting sqref="B2:F15">
    <cfRule type="expression" dxfId="0" priority="1">
      <formula>$A2=""</formula>
    </cfRule>
  </conditionalFormatting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J51"/>
  <sheetViews>
    <sheetView zoomScale="85" zoomScaleNormal="85" workbookViewId="0">
      <selection activeCell="G15" sqref="G15"/>
    </sheetView>
  </sheetViews>
  <sheetFormatPr defaultColWidth="12.7265625" defaultRowHeight="12.5" x14ac:dyDescent="0.25"/>
  <cols>
    <col min="1" max="1" width="48.1796875" style="35" customWidth="1"/>
    <col min="2" max="2" width="15" style="35" customWidth="1"/>
    <col min="3" max="3" width="14.7265625" style="35" customWidth="1"/>
    <col min="4" max="16384" width="12.7265625" style="35"/>
  </cols>
  <sheetData>
    <row r="1" spans="1:10" ht="13" x14ac:dyDescent="0.3">
      <c r="A1" s="40" t="s">
        <v>219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9" t="s">
        <v>5</v>
      </c>
    </row>
    <row r="2" spans="1:10" ht="13" x14ac:dyDescent="0.3">
      <c r="A2" s="40" t="s">
        <v>220</v>
      </c>
      <c r="B2" s="146" t="s">
        <v>32</v>
      </c>
      <c r="C2" s="35" t="s">
        <v>176</v>
      </c>
      <c r="D2" s="139">
        <v>1</v>
      </c>
      <c r="E2" s="139">
        <v>1</v>
      </c>
      <c r="F2" s="139">
        <v>1</v>
      </c>
      <c r="G2" s="139">
        <v>1</v>
      </c>
      <c r="H2" s="139">
        <v>1</v>
      </c>
    </row>
    <row r="3" spans="1:10" x14ac:dyDescent="0.25">
      <c r="B3" s="146"/>
      <c r="C3" s="35" t="s">
        <v>175</v>
      </c>
      <c r="D3" s="139">
        <v>1</v>
      </c>
      <c r="E3" s="139">
        <v>1</v>
      </c>
      <c r="F3" s="139">
        <v>1</v>
      </c>
      <c r="G3" s="139">
        <v>1</v>
      </c>
      <c r="H3" s="139">
        <v>1</v>
      </c>
      <c r="J3" s="100"/>
    </row>
    <row r="4" spans="1:10" x14ac:dyDescent="0.25">
      <c r="B4" s="146"/>
      <c r="C4" s="35" t="s">
        <v>174</v>
      </c>
      <c r="D4" s="139">
        <v>1</v>
      </c>
      <c r="E4" s="139">
        <v>1</v>
      </c>
      <c r="F4" s="139">
        <v>1</v>
      </c>
      <c r="G4" s="139">
        <v>1</v>
      </c>
      <c r="H4" s="139">
        <v>1</v>
      </c>
      <c r="J4" s="100"/>
    </row>
    <row r="5" spans="1:10" x14ac:dyDescent="0.25">
      <c r="B5" s="146" t="s">
        <v>1</v>
      </c>
      <c r="C5" s="35" t="s">
        <v>176</v>
      </c>
      <c r="D5" s="139">
        <f>5.16</f>
        <v>5.16</v>
      </c>
      <c r="E5" s="139">
        <v>1</v>
      </c>
      <c r="F5" s="139">
        <v>1</v>
      </c>
      <c r="G5" s="139">
        <v>1</v>
      </c>
      <c r="H5" s="139">
        <v>1</v>
      </c>
    </row>
    <row r="6" spans="1:10" x14ac:dyDescent="0.25">
      <c r="B6" s="146"/>
      <c r="C6" s="35" t="s">
        <v>175</v>
      </c>
      <c r="D6" s="139">
        <v>5.16</v>
      </c>
      <c r="E6" s="139">
        <v>1</v>
      </c>
      <c r="F6" s="139">
        <v>1</v>
      </c>
      <c r="G6" s="139">
        <v>1</v>
      </c>
      <c r="H6" s="139">
        <v>1</v>
      </c>
    </row>
    <row r="7" spans="1:10" x14ac:dyDescent="0.25">
      <c r="B7" s="146"/>
      <c r="C7" s="35" t="s">
        <v>174</v>
      </c>
      <c r="D7" s="139">
        <v>1</v>
      </c>
      <c r="E7" s="139">
        <v>1</v>
      </c>
      <c r="F7" s="139">
        <v>1</v>
      </c>
      <c r="G7" s="139">
        <v>1</v>
      </c>
      <c r="H7" s="139">
        <v>1</v>
      </c>
    </row>
    <row r="8" spans="1:10" x14ac:dyDescent="0.25">
      <c r="B8" s="146" t="s">
        <v>2</v>
      </c>
      <c r="C8" s="35" t="s">
        <v>176</v>
      </c>
      <c r="D8" s="139">
        <v>1</v>
      </c>
      <c r="E8" s="139">
        <v>5.16</v>
      </c>
      <c r="F8" s="139">
        <v>1</v>
      </c>
      <c r="G8" s="139">
        <v>1</v>
      </c>
      <c r="H8" s="139">
        <v>1</v>
      </c>
    </row>
    <row r="9" spans="1:10" x14ac:dyDescent="0.25">
      <c r="B9" s="146"/>
      <c r="C9" s="35" t="s">
        <v>175</v>
      </c>
      <c r="D9" s="139">
        <v>1</v>
      </c>
      <c r="E9" s="139">
        <v>5.16</v>
      </c>
      <c r="F9" s="139">
        <v>1</v>
      </c>
      <c r="G9" s="139">
        <v>1</v>
      </c>
      <c r="H9" s="139">
        <v>1</v>
      </c>
    </row>
    <row r="10" spans="1:10" x14ac:dyDescent="0.25">
      <c r="B10" s="146"/>
      <c r="C10" s="35" t="s">
        <v>174</v>
      </c>
      <c r="D10" s="139">
        <v>1</v>
      </c>
      <c r="E10" s="139">
        <v>1</v>
      </c>
      <c r="F10" s="139">
        <v>1</v>
      </c>
      <c r="G10" s="139">
        <v>1</v>
      </c>
      <c r="H10" s="139">
        <v>1</v>
      </c>
    </row>
    <row r="11" spans="1:10" x14ac:dyDescent="0.25">
      <c r="B11" s="146" t="s">
        <v>3</v>
      </c>
      <c r="C11" s="35" t="s">
        <v>176</v>
      </c>
      <c r="D11" s="139">
        <v>1</v>
      </c>
      <c r="E11" s="139">
        <v>1</v>
      </c>
      <c r="F11" s="139">
        <v>1.82</v>
      </c>
      <c r="G11" s="139">
        <v>1</v>
      </c>
      <c r="H11" s="139">
        <v>1</v>
      </c>
    </row>
    <row r="12" spans="1:10" x14ac:dyDescent="0.25">
      <c r="B12" s="146"/>
      <c r="C12" s="35" t="s">
        <v>175</v>
      </c>
      <c r="D12" s="139">
        <v>1</v>
      </c>
      <c r="E12" s="139">
        <v>1</v>
      </c>
      <c r="F12" s="139">
        <v>1.82</v>
      </c>
      <c r="G12" s="139">
        <v>1</v>
      </c>
      <c r="H12" s="139">
        <v>1</v>
      </c>
    </row>
    <row r="13" spans="1:10" x14ac:dyDescent="0.25">
      <c r="B13" s="146"/>
      <c r="C13" s="35" t="s">
        <v>174</v>
      </c>
      <c r="D13" s="139">
        <v>1</v>
      </c>
      <c r="E13" s="139">
        <v>1</v>
      </c>
      <c r="F13" s="139">
        <v>1</v>
      </c>
      <c r="G13" s="139">
        <v>1</v>
      </c>
      <c r="H13" s="139">
        <v>1</v>
      </c>
    </row>
    <row r="14" spans="1:10" x14ac:dyDescent="0.25">
      <c r="B14" s="146" t="s">
        <v>4</v>
      </c>
      <c r="C14" s="35" t="s">
        <v>176</v>
      </c>
      <c r="D14" s="139">
        <v>1</v>
      </c>
      <c r="E14" s="139">
        <v>1</v>
      </c>
      <c r="F14" s="139">
        <v>1</v>
      </c>
      <c r="G14" s="139">
        <v>1.82</v>
      </c>
      <c r="H14" s="139">
        <v>1</v>
      </c>
    </row>
    <row r="15" spans="1:10" x14ac:dyDescent="0.25">
      <c r="B15" s="146"/>
      <c r="C15" s="35" t="s">
        <v>175</v>
      </c>
      <c r="D15" s="139">
        <v>1</v>
      </c>
      <c r="E15" s="139">
        <v>1</v>
      </c>
      <c r="F15" s="139">
        <v>1</v>
      </c>
      <c r="G15" s="139">
        <v>1.82</v>
      </c>
      <c r="H15" s="139">
        <v>1</v>
      </c>
    </row>
    <row r="16" spans="1:10" x14ac:dyDescent="0.25">
      <c r="B16" s="146"/>
      <c r="C16" s="35" t="s">
        <v>174</v>
      </c>
      <c r="D16" s="139">
        <v>1</v>
      </c>
      <c r="E16" s="139">
        <v>1</v>
      </c>
      <c r="F16" s="139">
        <v>1</v>
      </c>
      <c r="G16" s="139">
        <v>1</v>
      </c>
      <c r="H16" s="139">
        <v>1</v>
      </c>
    </row>
    <row r="17" spans="1:8" ht="13" x14ac:dyDescent="0.25">
      <c r="B17" s="101" t="s">
        <v>172</v>
      </c>
      <c r="C17" s="35" t="s">
        <v>174</v>
      </c>
      <c r="D17" s="139">
        <v>1.05</v>
      </c>
      <c r="E17" s="139">
        <v>1.05</v>
      </c>
      <c r="F17" s="139">
        <v>1.05</v>
      </c>
      <c r="G17" s="139">
        <v>1.05</v>
      </c>
      <c r="H17" s="139">
        <v>1</v>
      </c>
    </row>
    <row r="18" spans="1:8" x14ac:dyDescent="0.25">
      <c r="D18" s="137"/>
      <c r="E18" s="137"/>
      <c r="F18" s="137"/>
      <c r="G18" s="137"/>
      <c r="H18" s="137"/>
    </row>
    <row r="19" spans="1:8" ht="13" x14ac:dyDescent="0.3">
      <c r="A19" s="40" t="s">
        <v>221</v>
      </c>
      <c r="B19" s="146" t="s">
        <v>32</v>
      </c>
      <c r="C19" s="35" t="s">
        <v>176</v>
      </c>
      <c r="D19" s="139">
        <v>1</v>
      </c>
      <c r="E19" s="139">
        <v>1</v>
      </c>
      <c r="F19" s="139">
        <v>0.98</v>
      </c>
      <c r="G19" s="139">
        <v>0.98</v>
      </c>
      <c r="H19" s="139">
        <v>1</v>
      </c>
    </row>
    <row r="20" spans="1:8" x14ac:dyDescent="0.25">
      <c r="B20" s="146"/>
      <c r="C20" s="35" t="s">
        <v>175</v>
      </c>
      <c r="D20" s="139">
        <v>1</v>
      </c>
      <c r="E20" s="139">
        <v>1</v>
      </c>
      <c r="F20" s="139">
        <v>0.98</v>
      </c>
      <c r="G20" s="139">
        <v>0.98</v>
      </c>
      <c r="H20" s="139">
        <v>1</v>
      </c>
    </row>
    <row r="21" spans="1:8" x14ac:dyDescent="0.25">
      <c r="B21" s="146"/>
      <c r="C21" s="35" t="s">
        <v>174</v>
      </c>
      <c r="D21" s="139">
        <v>1</v>
      </c>
      <c r="E21" s="139">
        <v>1</v>
      </c>
      <c r="F21" s="139">
        <v>0.99</v>
      </c>
      <c r="G21" s="139">
        <v>0.99</v>
      </c>
      <c r="H21" s="139">
        <v>1</v>
      </c>
    </row>
    <row r="22" spans="1:8" x14ac:dyDescent="0.25">
      <c r="B22" s="146" t="s">
        <v>1</v>
      </c>
      <c r="C22" s="35" t="s">
        <v>176</v>
      </c>
      <c r="D22" s="139">
        <v>1</v>
      </c>
      <c r="E22" s="139">
        <v>1</v>
      </c>
      <c r="F22" s="139">
        <v>1</v>
      </c>
      <c r="G22" s="139">
        <v>1</v>
      </c>
      <c r="H22" s="139">
        <v>1</v>
      </c>
    </row>
    <row r="23" spans="1:8" x14ac:dyDescent="0.25">
      <c r="B23" s="146"/>
      <c r="C23" s="35" t="s">
        <v>175</v>
      </c>
      <c r="D23" s="139">
        <v>1</v>
      </c>
      <c r="E23" s="139">
        <v>1</v>
      </c>
      <c r="F23" s="139">
        <v>1</v>
      </c>
      <c r="G23" s="139">
        <v>1</v>
      </c>
      <c r="H23" s="139">
        <v>1</v>
      </c>
    </row>
    <row r="24" spans="1:8" x14ac:dyDescent="0.25">
      <c r="B24" s="146"/>
      <c r="C24" s="35" t="s">
        <v>174</v>
      </c>
      <c r="D24" s="139">
        <v>1</v>
      </c>
      <c r="E24" s="139">
        <v>1</v>
      </c>
      <c r="F24" s="139">
        <v>0.99</v>
      </c>
      <c r="G24" s="139">
        <v>0.99</v>
      </c>
      <c r="H24" s="139">
        <v>1</v>
      </c>
    </row>
    <row r="25" spans="1:8" x14ac:dyDescent="0.25">
      <c r="B25" s="146" t="s">
        <v>2</v>
      </c>
      <c r="C25" s="35" t="s">
        <v>176</v>
      </c>
      <c r="D25" s="139">
        <v>1</v>
      </c>
      <c r="E25" s="139">
        <v>1</v>
      </c>
      <c r="F25" s="139">
        <v>1</v>
      </c>
      <c r="G25" s="139">
        <v>1</v>
      </c>
      <c r="H25" s="139">
        <v>1</v>
      </c>
    </row>
    <row r="26" spans="1:8" x14ac:dyDescent="0.25">
      <c r="B26" s="146"/>
      <c r="C26" s="35" t="s">
        <v>175</v>
      </c>
      <c r="D26" s="139">
        <v>1</v>
      </c>
      <c r="E26" s="139">
        <v>1</v>
      </c>
      <c r="F26" s="139">
        <v>1</v>
      </c>
      <c r="G26" s="139">
        <v>1</v>
      </c>
      <c r="H26" s="139">
        <v>1</v>
      </c>
    </row>
    <row r="27" spans="1:8" x14ac:dyDescent="0.25">
      <c r="B27" s="146"/>
      <c r="C27" s="35" t="s">
        <v>174</v>
      </c>
      <c r="D27" s="139">
        <v>1</v>
      </c>
      <c r="E27" s="139">
        <v>1</v>
      </c>
      <c r="F27" s="139">
        <v>0.99</v>
      </c>
      <c r="G27" s="139">
        <v>0.99</v>
      </c>
      <c r="H27" s="139">
        <v>1</v>
      </c>
    </row>
    <row r="28" spans="1:8" x14ac:dyDescent="0.25">
      <c r="B28" s="146" t="s">
        <v>3</v>
      </c>
      <c r="C28" s="35" t="s">
        <v>176</v>
      </c>
      <c r="D28" s="139">
        <v>1</v>
      </c>
      <c r="E28" s="139">
        <v>1</v>
      </c>
      <c r="F28" s="139">
        <v>0.78</v>
      </c>
      <c r="G28" s="139">
        <v>1</v>
      </c>
      <c r="H28" s="139">
        <v>1</v>
      </c>
    </row>
    <row r="29" spans="1:8" x14ac:dyDescent="0.25">
      <c r="B29" s="146"/>
      <c r="C29" s="35" t="s">
        <v>175</v>
      </c>
      <c r="D29" s="139">
        <v>1</v>
      </c>
      <c r="E29" s="139">
        <v>1</v>
      </c>
      <c r="F29" s="139">
        <v>0.78</v>
      </c>
      <c r="G29" s="139">
        <v>1</v>
      </c>
      <c r="H29" s="139">
        <v>1</v>
      </c>
    </row>
    <row r="30" spans="1:8" x14ac:dyDescent="0.25">
      <c r="B30" s="146"/>
      <c r="C30" s="35" t="s">
        <v>174</v>
      </c>
      <c r="D30" s="139">
        <v>1</v>
      </c>
      <c r="E30" s="139">
        <v>1</v>
      </c>
      <c r="F30" s="139">
        <v>0.99</v>
      </c>
      <c r="G30" s="139">
        <v>0.99</v>
      </c>
      <c r="H30" s="139">
        <v>1</v>
      </c>
    </row>
    <row r="31" spans="1:8" x14ac:dyDescent="0.25">
      <c r="B31" s="146" t="s">
        <v>4</v>
      </c>
      <c r="C31" s="35" t="s">
        <v>176</v>
      </c>
      <c r="D31" s="139">
        <v>1</v>
      </c>
      <c r="E31" s="139">
        <v>1</v>
      </c>
      <c r="F31" s="139">
        <v>1</v>
      </c>
      <c r="G31" s="139">
        <v>0.78</v>
      </c>
      <c r="H31" s="139">
        <v>1</v>
      </c>
    </row>
    <row r="32" spans="1:8" x14ac:dyDescent="0.25">
      <c r="B32" s="146"/>
      <c r="C32" s="35" t="s">
        <v>175</v>
      </c>
      <c r="D32" s="139">
        <v>1</v>
      </c>
      <c r="E32" s="139">
        <v>1</v>
      </c>
      <c r="F32" s="139">
        <v>1</v>
      </c>
      <c r="G32" s="139">
        <v>0.78</v>
      </c>
      <c r="H32" s="139">
        <v>1</v>
      </c>
    </row>
    <row r="33" spans="1:8" x14ac:dyDescent="0.25">
      <c r="B33" s="146"/>
      <c r="C33" s="35" t="s">
        <v>174</v>
      </c>
      <c r="D33" s="139">
        <v>1</v>
      </c>
      <c r="E33" s="139">
        <v>1</v>
      </c>
      <c r="F33" s="139">
        <v>1</v>
      </c>
      <c r="G33" s="139">
        <v>0.99</v>
      </c>
      <c r="H33" s="139">
        <v>1</v>
      </c>
    </row>
    <row r="34" spans="1:8" ht="13" x14ac:dyDescent="0.25">
      <c r="B34" s="101" t="s">
        <v>172</v>
      </c>
      <c r="C34" s="35" t="s">
        <v>174</v>
      </c>
      <c r="D34" s="139">
        <v>1</v>
      </c>
      <c r="E34" s="139">
        <v>1</v>
      </c>
      <c r="F34" s="139">
        <v>0.95</v>
      </c>
      <c r="G34" s="139">
        <v>0.95</v>
      </c>
      <c r="H34" s="139">
        <v>1</v>
      </c>
    </row>
    <row r="35" spans="1:8" x14ac:dyDescent="0.25">
      <c r="D35" s="137"/>
      <c r="E35" s="137"/>
      <c r="F35" s="137"/>
      <c r="G35" s="137"/>
      <c r="H35" s="137"/>
    </row>
    <row r="36" spans="1:8" ht="13" x14ac:dyDescent="0.3">
      <c r="A36" s="102" t="s">
        <v>222</v>
      </c>
      <c r="B36" s="146" t="s">
        <v>32</v>
      </c>
      <c r="C36" s="35" t="s">
        <v>176</v>
      </c>
      <c r="D36" s="139">
        <v>1</v>
      </c>
      <c r="E36" s="139">
        <v>1</v>
      </c>
      <c r="F36" s="139">
        <v>1</v>
      </c>
      <c r="G36" s="139">
        <v>1</v>
      </c>
      <c r="H36" s="139">
        <v>1</v>
      </c>
    </row>
    <row r="37" spans="1:8" x14ac:dyDescent="0.25">
      <c r="B37" s="146"/>
      <c r="C37" s="35" t="s">
        <v>175</v>
      </c>
      <c r="D37" s="139">
        <v>1</v>
      </c>
      <c r="E37" s="139">
        <v>1</v>
      </c>
      <c r="F37" s="139">
        <v>1</v>
      </c>
      <c r="G37" s="139">
        <v>1</v>
      </c>
      <c r="H37" s="139">
        <v>1</v>
      </c>
    </row>
    <row r="38" spans="1:8" x14ac:dyDescent="0.25">
      <c r="B38" s="146"/>
      <c r="C38" s="35" t="s">
        <v>174</v>
      </c>
      <c r="D38" s="139">
        <v>1</v>
      </c>
      <c r="E38" s="139">
        <v>1</v>
      </c>
      <c r="F38" s="139">
        <v>1</v>
      </c>
      <c r="G38" s="139">
        <v>1</v>
      </c>
      <c r="H38" s="139">
        <v>1</v>
      </c>
    </row>
    <row r="39" spans="1:8" x14ac:dyDescent="0.25">
      <c r="B39" s="146" t="s">
        <v>1</v>
      </c>
      <c r="C39" s="35" t="s">
        <v>176</v>
      </c>
      <c r="D39" s="139">
        <v>1</v>
      </c>
      <c r="E39" s="139">
        <v>1</v>
      </c>
      <c r="F39" s="139">
        <v>1</v>
      </c>
      <c r="G39" s="139">
        <v>1</v>
      </c>
      <c r="H39" s="139">
        <v>1</v>
      </c>
    </row>
    <row r="40" spans="1:8" x14ac:dyDescent="0.25">
      <c r="B40" s="146"/>
      <c r="C40" s="35" t="s">
        <v>175</v>
      </c>
      <c r="D40" s="139">
        <v>1</v>
      </c>
      <c r="E40" s="139">
        <v>1</v>
      </c>
      <c r="F40" s="139">
        <v>1</v>
      </c>
      <c r="G40" s="139">
        <v>1</v>
      </c>
      <c r="H40" s="139">
        <v>1</v>
      </c>
    </row>
    <row r="41" spans="1:8" x14ac:dyDescent="0.25">
      <c r="B41" s="146"/>
      <c r="C41" s="35" t="s">
        <v>174</v>
      </c>
      <c r="D41" s="139">
        <v>1</v>
      </c>
      <c r="E41" s="139">
        <v>1</v>
      </c>
      <c r="F41" s="139">
        <v>1</v>
      </c>
      <c r="G41" s="139">
        <v>1</v>
      </c>
      <c r="H41" s="139">
        <v>1</v>
      </c>
    </row>
    <row r="42" spans="1:8" x14ac:dyDescent="0.25">
      <c r="B42" s="146" t="s">
        <v>2</v>
      </c>
      <c r="C42" s="35" t="s">
        <v>176</v>
      </c>
      <c r="D42" s="139">
        <v>1</v>
      </c>
      <c r="E42" s="139">
        <v>1</v>
      </c>
      <c r="F42" s="139">
        <v>1</v>
      </c>
      <c r="G42" s="139">
        <v>1</v>
      </c>
      <c r="H42" s="139">
        <v>1</v>
      </c>
    </row>
    <row r="43" spans="1:8" x14ac:dyDescent="0.25">
      <c r="B43" s="146"/>
      <c r="C43" s="35" t="s">
        <v>175</v>
      </c>
      <c r="D43" s="139">
        <v>1</v>
      </c>
      <c r="E43" s="139">
        <v>1</v>
      </c>
      <c r="F43" s="139">
        <v>1</v>
      </c>
      <c r="G43" s="139">
        <v>1</v>
      </c>
      <c r="H43" s="139">
        <v>1</v>
      </c>
    </row>
    <row r="44" spans="1:8" x14ac:dyDescent="0.25">
      <c r="B44" s="146"/>
      <c r="C44" s="35" t="s">
        <v>174</v>
      </c>
      <c r="D44" s="139">
        <v>1</v>
      </c>
      <c r="E44" s="139">
        <v>1</v>
      </c>
      <c r="F44" s="139">
        <v>1</v>
      </c>
      <c r="G44" s="139">
        <v>1</v>
      </c>
      <c r="H44" s="139">
        <v>1</v>
      </c>
    </row>
    <row r="45" spans="1:8" x14ac:dyDescent="0.25">
      <c r="B45" s="146" t="s">
        <v>3</v>
      </c>
      <c r="C45" s="35" t="s">
        <v>176</v>
      </c>
      <c r="D45" s="139">
        <v>1</v>
      </c>
      <c r="E45" s="139">
        <v>1</v>
      </c>
      <c r="F45" s="139">
        <v>1.82</v>
      </c>
      <c r="G45" s="139">
        <v>1</v>
      </c>
      <c r="H45" s="139">
        <v>1</v>
      </c>
    </row>
    <row r="46" spans="1:8" x14ac:dyDescent="0.25">
      <c r="B46" s="146"/>
      <c r="C46" s="35" t="s">
        <v>175</v>
      </c>
      <c r="D46" s="139">
        <v>1</v>
      </c>
      <c r="E46" s="139">
        <v>1</v>
      </c>
      <c r="F46" s="139">
        <v>1.82</v>
      </c>
      <c r="G46" s="139">
        <v>1</v>
      </c>
      <c r="H46" s="139">
        <v>1</v>
      </c>
    </row>
    <row r="47" spans="1:8" x14ac:dyDescent="0.25">
      <c r="B47" s="146"/>
      <c r="C47" s="35" t="s">
        <v>174</v>
      </c>
      <c r="D47" s="139">
        <v>1</v>
      </c>
      <c r="E47" s="139">
        <v>1</v>
      </c>
      <c r="F47" s="139">
        <v>1</v>
      </c>
      <c r="G47" s="139">
        <v>1</v>
      </c>
      <c r="H47" s="139">
        <v>1</v>
      </c>
    </row>
    <row r="48" spans="1:8" x14ac:dyDescent="0.25">
      <c r="B48" s="146" t="s">
        <v>4</v>
      </c>
      <c r="C48" s="35" t="s">
        <v>176</v>
      </c>
      <c r="D48" s="139">
        <v>1</v>
      </c>
      <c r="E48" s="139">
        <v>1</v>
      </c>
      <c r="F48" s="139">
        <v>1</v>
      </c>
      <c r="G48" s="139">
        <v>1.82</v>
      </c>
      <c r="H48" s="139">
        <v>1</v>
      </c>
    </row>
    <row r="49" spans="2:8" x14ac:dyDescent="0.25">
      <c r="B49" s="146"/>
      <c r="C49" s="35" t="s">
        <v>175</v>
      </c>
      <c r="D49" s="139">
        <v>1</v>
      </c>
      <c r="E49" s="139">
        <v>1</v>
      </c>
      <c r="F49" s="139">
        <v>1</v>
      </c>
      <c r="G49" s="139">
        <v>1.82</v>
      </c>
      <c r="H49" s="139">
        <v>1</v>
      </c>
    </row>
    <row r="50" spans="2:8" x14ac:dyDescent="0.25">
      <c r="B50" s="146"/>
      <c r="C50" s="35" t="s">
        <v>174</v>
      </c>
      <c r="D50" s="139">
        <v>1</v>
      </c>
      <c r="E50" s="139">
        <v>1</v>
      </c>
      <c r="F50" s="139">
        <v>1</v>
      </c>
      <c r="G50" s="139">
        <v>1</v>
      </c>
      <c r="H50" s="139">
        <v>1</v>
      </c>
    </row>
    <row r="51" spans="2:8" ht="13" x14ac:dyDescent="0.25">
      <c r="B51" s="103" t="s">
        <v>172</v>
      </c>
      <c r="C51" s="35" t="s">
        <v>174</v>
      </c>
      <c r="D51" s="139">
        <v>1.05</v>
      </c>
      <c r="E51" s="139">
        <v>1.05</v>
      </c>
      <c r="F51" s="139">
        <v>1.05</v>
      </c>
      <c r="G51" s="139">
        <v>1.05</v>
      </c>
      <c r="H51" s="139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G28"/>
  <sheetViews>
    <sheetView topLeftCell="A7" zoomScale="85" zoomScaleNormal="85" workbookViewId="0">
      <selection activeCell="E15" sqref="E15"/>
    </sheetView>
  </sheetViews>
  <sheetFormatPr defaultColWidth="16.1796875" defaultRowHeight="15.75" customHeight="1" x14ac:dyDescent="0.25"/>
  <cols>
    <col min="1" max="1" width="23.81640625" style="35" customWidth="1"/>
    <col min="2" max="2" width="34.1796875" style="35" customWidth="1"/>
    <col min="3" max="3" width="11.26953125" style="35" bestFit="1" customWidth="1"/>
    <col min="4" max="4" width="11.81640625" style="35" customWidth="1"/>
    <col min="5" max="6" width="15" style="35" customWidth="1"/>
    <col min="7" max="16384" width="16.1796875" style="35"/>
  </cols>
  <sheetData>
    <row r="1" spans="1:7" s="105" customFormat="1" ht="18.75" customHeight="1" x14ac:dyDescent="0.3">
      <c r="A1" s="104" t="s">
        <v>223</v>
      </c>
    </row>
    <row r="2" spans="1:7" ht="15.75" customHeight="1" x14ac:dyDescent="0.3">
      <c r="B2" s="106"/>
      <c r="C2" s="107" t="s">
        <v>26</v>
      </c>
      <c r="D2" s="108" t="s">
        <v>12</v>
      </c>
      <c r="E2" s="108" t="s">
        <v>11</v>
      </c>
      <c r="F2" s="108" t="s">
        <v>9</v>
      </c>
    </row>
    <row r="3" spans="1:7" ht="15.75" customHeight="1" x14ac:dyDescent="0.3">
      <c r="A3" s="40" t="s">
        <v>224</v>
      </c>
      <c r="B3" s="109"/>
      <c r="C3" s="110"/>
      <c r="D3" s="111"/>
      <c r="E3" s="111"/>
      <c r="F3" s="111"/>
    </row>
    <row r="4" spans="1:7" ht="15.75" customHeight="1" x14ac:dyDescent="0.25">
      <c r="B4" s="112" t="s">
        <v>75</v>
      </c>
      <c r="C4" s="140">
        <v>1</v>
      </c>
      <c r="D4" s="141">
        <v>1</v>
      </c>
      <c r="E4" s="141">
        <v>1</v>
      </c>
      <c r="F4" s="141">
        <v>1</v>
      </c>
    </row>
    <row r="5" spans="1:7" ht="15.75" customHeight="1" x14ac:dyDescent="0.25">
      <c r="B5" s="112" t="s">
        <v>76</v>
      </c>
      <c r="C5" s="140">
        <v>1</v>
      </c>
      <c r="D5" s="141">
        <v>1.41</v>
      </c>
      <c r="E5" s="141">
        <v>1.49</v>
      </c>
      <c r="F5" s="141">
        <v>3.03</v>
      </c>
    </row>
    <row r="6" spans="1:7" ht="15.75" customHeight="1" x14ac:dyDescent="0.25">
      <c r="B6" s="112" t="s">
        <v>77</v>
      </c>
      <c r="C6" s="140">
        <v>1</v>
      </c>
      <c r="D6" s="141">
        <v>1.18</v>
      </c>
      <c r="E6" s="141">
        <v>1.1000000000000001</v>
      </c>
      <c r="F6" s="141">
        <v>1.77</v>
      </c>
    </row>
    <row r="7" spans="1:7" ht="15.75" customHeight="1" x14ac:dyDescent="0.25">
      <c r="B7" s="112" t="s">
        <v>78</v>
      </c>
      <c r="C7" s="140">
        <v>1</v>
      </c>
      <c r="D7" s="141">
        <v>1</v>
      </c>
      <c r="E7" s="141">
        <v>1</v>
      </c>
      <c r="F7" s="141">
        <v>1</v>
      </c>
    </row>
    <row r="8" spans="1:7" ht="15.75" customHeight="1" x14ac:dyDescent="0.25">
      <c r="C8" s="113"/>
      <c r="D8" s="100"/>
      <c r="E8" s="100"/>
      <c r="F8" s="100"/>
    </row>
    <row r="9" spans="1:7" ht="15.75" customHeight="1" x14ac:dyDescent="0.3">
      <c r="A9" s="40" t="s">
        <v>225</v>
      </c>
      <c r="C9" s="140">
        <v>1</v>
      </c>
      <c r="D9" s="141">
        <v>1.53</v>
      </c>
      <c r="E9" s="141">
        <v>1.32</v>
      </c>
      <c r="F9" s="141">
        <v>1.53</v>
      </c>
      <c r="G9" s="114"/>
    </row>
    <row r="10" spans="1:7" ht="15.75" customHeight="1" x14ac:dyDescent="0.25">
      <c r="C10" s="113"/>
      <c r="D10" s="100"/>
      <c r="E10" s="100"/>
      <c r="F10" s="100"/>
      <c r="G10" s="114"/>
    </row>
    <row r="11" spans="1:7" s="105" customFormat="1" ht="15" customHeight="1" x14ac:dyDescent="0.3">
      <c r="A11" s="104" t="s">
        <v>226</v>
      </c>
      <c r="C11" s="115"/>
      <c r="D11" s="116"/>
      <c r="E11" s="116"/>
      <c r="F11" s="116"/>
      <c r="G11" s="117"/>
    </row>
    <row r="12" spans="1:7" ht="15.75" customHeight="1" x14ac:dyDescent="0.3">
      <c r="A12" s="40" t="s">
        <v>227</v>
      </c>
      <c r="C12" s="113"/>
      <c r="D12" s="100"/>
      <c r="E12" s="100"/>
      <c r="F12" s="100"/>
      <c r="G12" s="114"/>
    </row>
    <row r="13" spans="1:7" ht="15.75" customHeight="1" x14ac:dyDescent="0.25">
      <c r="B13" s="118" t="s">
        <v>228</v>
      </c>
      <c r="C13" s="140">
        <v>1</v>
      </c>
      <c r="D13" s="141">
        <v>5</v>
      </c>
      <c r="E13" s="141">
        <v>6.4</v>
      </c>
      <c r="F13" s="141">
        <v>46.5</v>
      </c>
      <c r="G13" s="114"/>
    </row>
    <row r="14" spans="1:7" ht="15.75" customHeight="1" x14ac:dyDescent="0.25">
      <c r="B14" s="118" t="s">
        <v>229</v>
      </c>
      <c r="C14" s="140">
        <v>1</v>
      </c>
      <c r="D14" s="141">
        <v>2.52</v>
      </c>
      <c r="E14" s="141">
        <v>1.96</v>
      </c>
      <c r="F14" s="141">
        <v>4.1900000000000004</v>
      </c>
      <c r="G14" s="114"/>
    </row>
    <row r="15" spans="1:7" ht="15.75" customHeight="1" x14ac:dyDescent="0.25">
      <c r="B15" s="118" t="s">
        <v>230</v>
      </c>
      <c r="C15" s="140">
        <v>1</v>
      </c>
      <c r="D15" s="141">
        <v>2.52</v>
      </c>
      <c r="E15" s="141">
        <v>1.96</v>
      </c>
      <c r="F15" s="141">
        <v>4.1900000000000004</v>
      </c>
      <c r="G15" s="114"/>
    </row>
    <row r="16" spans="1:7" ht="15.75" customHeight="1" x14ac:dyDescent="0.3">
      <c r="A16" s="40"/>
      <c r="B16" s="118"/>
      <c r="C16" s="119"/>
      <c r="D16" s="100"/>
      <c r="E16" s="100"/>
      <c r="F16" s="100"/>
      <c r="G16" s="114"/>
    </row>
    <row r="17" spans="1:7" ht="15.75" customHeight="1" x14ac:dyDescent="0.3">
      <c r="A17" s="40" t="s">
        <v>231</v>
      </c>
      <c r="B17" s="109"/>
      <c r="C17" s="120"/>
      <c r="D17" s="121"/>
      <c r="E17" s="121"/>
      <c r="F17" s="121"/>
      <c r="G17" s="114"/>
    </row>
    <row r="18" spans="1:7" ht="15.75" customHeight="1" x14ac:dyDescent="0.25">
      <c r="B18" s="122" t="s">
        <v>73</v>
      </c>
      <c r="C18" s="140">
        <v>1</v>
      </c>
      <c r="D18" s="141">
        <v>1</v>
      </c>
      <c r="E18" s="141">
        <v>1</v>
      </c>
      <c r="F18" s="141">
        <v>1</v>
      </c>
      <c r="G18" s="114"/>
    </row>
    <row r="19" spans="1:7" ht="15.75" customHeight="1" x14ac:dyDescent="0.25">
      <c r="B19" s="122" t="s">
        <v>7</v>
      </c>
      <c r="C19" s="140">
        <v>1</v>
      </c>
      <c r="D19" s="141">
        <v>2.0699999999999998</v>
      </c>
      <c r="E19" s="141">
        <v>8.02</v>
      </c>
      <c r="F19" s="141">
        <v>11.54</v>
      </c>
      <c r="G19" s="114"/>
    </row>
    <row r="20" spans="1:7" ht="15.75" customHeight="1" x14ac:dyDescent="0.25">
      <c r="B20" s="122" t="s">
        <v>8</v>
      </c>
      <c r="C20" s="140">
        <v>1</v>
      </c>
      <c r="D20" s="141">
        <v>2.0699999999999998</v>
      </c>
      <c r="E20" s="141">
        <v>8.02</v>
      </c>
      <c r="F20" s="141">
        <v>11.54</v>
      </c>
      <c r="G20" s="114"/>
    </row>
    <row r="21" spans="1:7" ht="15.75" customHeight="1" x14ac:dyDescent="0.25">
      <c r="B21" s="122" t="s">
        <v>10</v>
      </c>
      <c r="C21" s="140">
        <v>1</v>
      </c>
      <c r="D21" s="141">
        <v>2.0699999999999998</v>
      </c>
      <c r="E21" s="141">
        <v>8.02</v>
      </c>
      <c r="F21" s="141">
        <v>11.54</v>
      </c>
      <c r="G21" s="114"/>
    </row>
    <row r="22" spans="1:7" ht="15.75" customHeight="1" x14ac:dyDescent="0.25">
      <c r="B22" s="122" t="s">
        <v>13</v>
      </c>
      <c r="C22" s="140">
        <v>1</v>
      </c>
      <c r="D22" s="141">
        <v>1</v>
      </c>
      <c r="E22" s="141">
        <v>999.99</v>
      </c>
      <c r="F22" s="141">
        <v>999.99</v>
      </c>
    </row>
    <row r="23" spans="1:7" ht="15.75" customHeight="1" x14ac:dyDescent="0.25">
      <c r="B23" s="122" t="s">
        <v>14</v>
      </c>
      <c r="C23" s="140">
        <v>1</v>
      </c>
      <c r="D23" s="141">
        <v>1</v>
      </c>
      <c r="E23" s="141">
        <v>1</v>
      </c>
      <c r="F23" s="141">
        <v>1</v>
      </c>
    </row>
    <row r="24" spans="1:7" ht="15.75" customHeight="1" x14ac:dyDescent="0.25">
      <c r="B24" s="122" t="s">
        <v>27</v>
      </c>
      <c r="C24" s="140">
        <v>1</v>
      </c>
      <c r="D24" s="141">
        <v>1</v>
      </c>
      <c r="E24" s="141">
        <v>1</v>
      </c>
      <c r="F24" s="141">
        <v>1</v>
      </c>
    </row>
    <row r="25" spans="1:7" ht="15.75" customHeight="1" x14ac:dyDescent="0.25">
      <c r="B25" s="122" t="s">
        <v>15</v>
      </c>
      <c r="C25" s="140">
        <v>1</v>
      </c>
      <c r="D25" s="141">
        <v>1</v>
      </c>
      <c r="E25" s="141">
        <v>1</v>
      </c>
      <c r="F25" s="141">
        <v>1</v>
      </c>
    </row>
    <row r="26" spans="1:7" ht="15.75" customHeight="1" x14ac:dyDescent="0.25">
      <c r="B26" s="118"/>
    </row>
    <row r="28" spans="1:7" ht="15.75" customHeight="1" x14ac:dyDescent="0.3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P111"/>
  <sheetViews>
    <sheetView topLeftCell="A75" zoomScaleNormal="100" workbookViewId="0">
      <selection activeCell="F8" sqref="F8"/>
    </sheetView>
  </sheetViews>
  <sheetFormatPr defaultColWidth="12.7265625" defaultRowHeight="12.5" x14ac:dyDescent="0.25"/>
  <cols>
    <col min="1" max="1" width="27.26953125" style="35" customWidth="1"/>
    <col min="2" max="2" width="26.81640625" style="35" customWidth="1"/>
    <col min="3" max="3" width="18.26953125" style="35" customWidth="1"/>
    <col min="4" max="8" width="14.7265625" style="35" customWidth="1"/>
    <col min="9" max="12" width="15.26953125" style="35" bestFit="1" customWidth="1"/>
    <col min="13" max="16" width="16.81640625" style="35" bestFit="1" customWidth="1"/>
    <col min="17" max="16384" width="12.7265625" style="35"/>
  </cols>
  <sheetData>
    <row r="1" spans="1:16" s="105" customFormat="1" ht="13" x14ac:dyDescent="0.3">
      <c r="A1" s="104" t="s">
        <v>232</v>
      </c>
    </row>
    <row r="2" spans="1:16" ht="13" x14ac:dyDescent="0.3">
      <c r="A2" s="123" t="s">
        <v>213</v>
      </c>
      <c r="B2" s="124" t="s">
        <v>233</v>
      </c>
      <c r="C2" s="124" t="s">
        <v>234</v>
      </c>
      <c r="D2" s="108" t="s">
        <v>1</v>
      </c>
      <c r="E2" s="108" t="s">
        <v>2</v>
      </c>
      <c r="F2" s="108" t="s">
        <v>3</v>
      </c>
      <c r="G2" s="108" t="s">
        <v>4</v>
      </c>
      <c r="H2" s="108" t="s">
        <v>5</v>
      </c>
      <c r="I2" s="125"/>
      <c r="J2" s="125"/>
      <c r="K2" s="125"/>
      <c r="L2" s="125"/>
      <c r="M2" s="125"/>
      <c r="N2" s="125"/>
      <c r="O2" s="125"/>
      <c r="P2" s="125"/>
    </row>
    <row r="3" spans="1:16" ht="13" x14ac:dyDescent="0.3">
      <c r="A3" s="40"/>
      <c r="B3" s="35" t="s">
        <v>71</v>
      </c>
      <c r="C3" s="43" t="s">
        <v>235</v>
      </c>
      <c r="D3" s="140">
        <v>1</v>
      </c>
      <c r="E3" s="140">
        <v>1</v>
      </c>
      <c r="F3" s="140">
        <v>1</v>
      </c>
      <c r="G3" s="140">
        <v>1</v>
      </c>
      <c r="H3" s="140">
        <v>1</v>
      </c>
      <c r="I3" s="123"/>
      <c r="J3" s="123"/>
      <c r="K3" s="123"/>
      <c r="L3" s="123"/>
      <c r="M3" s="123"/>
      <c r="N3" s="123"/>
      <c r="O3" s="123"/>
      <c r="P3" s="123"/>
    </row>
    <row r="4" spans="1:16" x14ac:dyDescent="0.25">
      <c r="C4" s="43" t="s">
        <v>236</v>
      </c>
      <c r="D4" s="141">
        <v>1</v>
      </c>
      <c r="E4" s="141">
        <v>1.67</v>
      </c>
      <c r="F4" s="141">
        <v>1.67</v>
      </c>
      <c r="G4" s="141">
        <v>1.67</v>
      </c>
      <c r="H4" s="141">
        <v>1.67</v>
      </c>
      <c r="I4" s="123"/>
      <c r="J4" s="123"/>
      <c r="K4" s="123"/>
      <c r="L4" s="123"/>
      <c r="M4" s="123"/>
      <c r="N4" s="123"/>
      <c r="O4" s="123"/>
      <c r="P4" s="123"/>
    </row>
    <row r="5" spans="1:16" x14ac:dyDescent="0.25">
      <c r="C5" s="43" t="s">
        <v>237</v>
      </c>
      <c r="D5" s="141">
        <v>1</v>
      </c>
      <c r="E5" s="141">
        <v>2.38</v>
      </c>
      <c r="F5" s="141">
        <v>2.38</v>
      </c>
      <c r="G5" s="141">
        <v>2.38</v>
      </c>
      <c r="H5" s="141">
        <v>2.38</v>
      </c>
      <c r="I5" s="123"/>
      <c r="J5" s="123"/>
      <c r="K5" s="123"/>
      <c r="L5" s="123"/>
      <c r="M5" s="123"/>
      <c r="N5" s="123"/>
      <c r="O5" s="123"/>
      <c r="P5" s="123"/>
    </row>
    <row r="6" spans="1:16" x14ac:dyDescent="0.25">
      <c r="C6" s="43" t="s">
        <v>238</v>
      </c>
      <c r="D6" s="141">
        <v>1</v>
      </c>
      <c r="E6" s="141">
        <v>6.33</v>
      </c>
      <c r="F6" s="141">
        <v>6.33</v>
      </c>
      <c r="G6" s="141">
        <v>6.33</v>
      </c>
      <c r="H6" s="141">
        <v>6.33</v>
      </c>
      <c r="I6" s="123"/>
      <c r="J6" s="123"/>
      <c r="K6" s="123"/>
      <c r="L6" s="123"/>
      <c r="M6" s="123"/>
      <c r="N6" s="123"/>
      <c r="O6" s="123"/>
      <c r="P6" s="123"/>
    </row>
    <row r="7" spans="1:16" x14ac:dyDescent="0.25">
      <c r="B7" s="35" t="s">
        <v>16</v>
      </c>
      <c r="C7" s="43" t="s">
        <v>235</v>
      </c>
      <c r="D7" s="140">
        <v>1</v>
      </c>
      <c r="E7" s="140">
        <v>1</v>
      </c>
      <c r="F7" s="140">
        <v>1</v>
      </c>
      <c r="G7" s="140">
        <v>1</v>
      </c>
      <c r="H7" s="140">
        <v>1</v>
      </c>
      <c r="I7" s="123"/>
      <c r="J7" s="123"/>
      <c r="K7" s="123"/>
      <c r="L7" s="123"/>
      <c r="M7" s="123"/>
      <c r="N7" s="123"/>
      <c r="O7" s="123"/>
      <c r="P7" s="123"/>
    </row>
    <row r="8" spans="1:16" x14ac:dyDescent="0.25">
      <c r="C8" s="43" t="s">
        <v>236</v>
      </c>
      <c r="D8" s="141">
        <v>1</v>
      </c>
      <c r="E8" s="141">
        <v>1.55</v>
      </c>
      <c r="F8" s="141">
        <v>1.55</v>
      </c>
      <c r="G8" s="141">
        <v>1.55</v>
      </c>
      <c r="H8" s="141">
        <v>1.55</v>
      </c>
      <c r="I8" s="123"/>
      <c r="J8" s="123"/>
      <c r="K8" s="123"/>
      <c r="L8" s="123"/>
      <c r="M8" s="123"/>
      <c r="N8" s="123"/>
      <c r="O8" s="123"/>
      <c r="P8" s="123"/>
    </row>
    <row r="9" spans="1:16" x14ac:dyDescent="0.25">
      <c r="C9" s="43" t="s">
        <v>237</v>
      </c>
      <c r="D9" s="141">
        <v>1</v>
      </c>
      <c r="E9" s="141">
        <v>2.1800000000000002</v>
      </c>
      <c r="F9" s="141">
        <v>2.1800000000000002</v>
      </c>
      <c r="G9" s="141">
        <v>2.1800000000000002</v>
      </c>
      <c r="H9" s="141">
        <v>2.1800000000000002</v>
      </c>
      <c r="I9" s="123"/>
      <c r="J9" s="123"/>
      <c r="K9" s="123"/>
      <c r="L9" s="123"/>
      <c r="M9" s="123"/>
      <c r="N9" s="123"/>
      <c r="O9" s="123"/>
      <c r="P9" s="123"/>
    </row>
    <row r="10" spans="1:16" x14ac:dyDescent="0.25">
      <c r="C10" s="43" t="s">
        <v>238</v>
      </c>
      <c r="D10" s="141">
        <v>1</v>
      </c>
      <c r="E10" s="141">
        <v>6.39</v>
      </c>
      <c r="F10" s="141">
        <v>6.39</v>
      </c>
      <c r="G10" s="141">
        <v>6.39</v>
      </c>
      <c r="H10" s="141">
        <v>6.39</v>
      </c>
      <c r="I10" s="123"/>
      <c r="J10" s="123"/>
      <c r="K10" s="123"/>
      <c r="L10" s="123"/>
      <c r="M10" s="123"/>
      <c r="N10" s="123"/>
      <c r="O10" s="123"/>
      <c r="P10" s="123"/>
    </row>
    <row r="11" spans="1:16" x14ac:dyDescent="0.25">
      <c r="B11" s="35" t="s">
        <v>18</v>
      </c>
      <c r="C11" s="43" t="s">
        <v>235</v>
      </c>
      <c r="D11" s="140">
        <v>1</v>
      </c>
      <c r="E11" s="140">
        <v>1</v>
      </c>
      <c r="F11" s="140">
        <v>1</v>
      </c>
      <c r="G11" s="140">
        <v>1</v>
      </c>
      <c r="H11" s="140">
        <v>1</v>
      </c>
      <c r="I11" s="123"/>
      <c r="J11" s="123"/>
      <c r="K11" s="123"/>
      <c r="L11" s="123"/>
      <c r="M11" s="123"/>
      <c r="N11" s="123"/>
      <c r="O11" s="123"/>
      <c r="P11" s="123"/>
    </row>
    <row r="12" spans="1:16" x14ac:dyDescent="0.25">
      <c r="C12" s="43" t="s">
        <v>236</v>
      </c>
      <c r="D12" s="141">
        <v>1</v>
      </c>
      <c r="E12" s="141">
        <v>1</v>
      </c>
      <c r="F12" s="141">
        <v>1</v>
      </c>
      <c r="G12" s="141">
        <v>1</v>
      </c>
      <c r="H12" s="141">
        <v>1</v>
      </c>
      <c r="I12" s="123"/>
      <c r="J12" s="123"/>
      <c r="K12" s="123"/>
      <c r="L12" s="123"/>
      <c r="M12" s="123"/>
      <c r="N12" s="123"/>
      <c r="O12" s="123"/>
      <c r="P12" s="123"/>
    </row>
    <row r="13" spans="1:16" x14ac:dyDescent="0.25">
      <c r="C13" s="43" t="s">
        <v>237</v>
      </c>
      <c r="D13" s="141">
        <v>1</v>
      </c>
      <c r="E13" s="141">
        <v>2.79</v>
      </c>
      <c r="F13" s="141">
        <v>2.79</v>
      </c>
      <c r="G13" s="141">
        <v>2.79</v>
      </c>
      <c r="H13" s="141">
        <v>2.79</v>
      </c>
      <c r="I13" s="123"/>
      <c r="J13" s="123"/>
      <c r="K13" s="123"/>
      <c r="L13" s="123"/>
      <c r="M13" s="123"/>
      <c r="N13" s="123"/>
      <c r="O13" s="123"/>
      <c r="P13" s="123"/>
    </row>
    <row r="14" spans="1:16" x14ac:dyDescent="0.25">
      <c r="C14" s="43" t="s">
        <v>238</v>
      </c>
      <c r="D14" s="141">
        <v>1</v>
      </c>
      <c r="E14" s="141">
        <v>6.01</v>
      </c>
      <c r="F14" s="141">
        <v>6.01</v>
      </c>
      <c r="G14" s="141">
        <v>6.01</v>
      </c>
      <c r="H14" s="141">
        <v>6.01</v>
      </c>
      <c r="I14" s="123"/>
      <c r="J14" s="123"/>
      <c r="K14" s="123"/>
      <c r="L14" s="123"/>
      <c r="M14" s="123"/>
      <c r="N14" s="123"/>
      <c r="O14" s="123"/>
      <c r="P14" s="123"/>
    </row>
    <row r="15" spans="1:16" x14ac:dyDescent="0.25">
      <c r="B15" s="35" t="s">
        <v>19</v>
      </c>
      <c r="C15" s="43" t="s">
        <v>235</v>
      </c>
      <c r="D15" s="140">
        <v>1</v>
      </c>
      <c r="E15" s="140">
        <v>1</v>
      </c>
      <c r="F15" s="140">
        <v>1</v>
      </c>
      <c r="G15" s="140">
        <v>1</v>
      </c>
      <c r="H15" s="140">
        <v>1</v>
      </c>
      <c r="I15" s="123"/>
      <c r="J15" s="123"/>
      <c r="K15" s="123"/>
      <c r="L15" s="123"/>
      <c r="M15" s="123"/>
      <c r="N15" s="123"/>
      <c r="O15" s="123"/>
      <c r="P15" s="123"/>
    </row>
    <row r="16" spans="1:16" x14ac:dyDescent="0.25">
      <c r="C16" s="43" t="s">
        <v>236</v>
      </c>
      <c r="D16" s="141">
        <v>1</v>
      </c>
      <c r="E16" s="141">
        <v>1</v>
      </c>
      <c r="F16" s="141">
        <v>1</v>
      </c>
      <c r="G16" s="141">
        <v>1</v>
      </c>
      <c r="H16" s="141">
        <v>1</v>
      </c>
      <c r="I16" s="123"/>
      <c r="J16" s="123"/>
      <c r="K16" s="123"/>
      <c r="L16" s="123"/>
      <c r="M16" s="123"/>
      <c r="N16" s="123"/>
      <c r="O16" s="123"/>
      <c r="P16" s="123"/>
    </row>
    <row r="17" spans="1:16" x14ac:dyDescent="0.25">
      <c r="C17" s="43" t="s">
        <v>237</v>
      </c>
      <c r="D17" s="141">
        <v>1</v>
      </c>
      <c r="E17" s="141">
        <v>1</v>
      </c>
      <c r="F17" s="141">
        <v>1</v>
      </c>
      <c r="G17" s="141">
        <v>1</v>
      </c>
      <c r="H17" s="141">
        <v>1</v>
      </c>
      <c r="I17" s="123"/>
      <c r="J17" s="123"/>
      <c r="K17" s="123"/>
      <c r="L17" s="123"/>
      <c r="M17" s="123"/>
      <c r="N17" s="123"/>
      <c r="O17" s="123"/>
      <c r="P17" s="123"/>
    </row>
    <row r="18" spans="1:16" ht="13.9" customHeight="1" x14ac:dyDescent="0.25">
      <c r="C18" s="43" t="s">
        <v>238</v>
      </c>
      <c r="D18" s="141">
        <v>1</v>
      </c>
      <c r="E18" s="141">
        <v>1</v>
      </c>
      <c r="F18" s="141">
        <v>1</v>
      </c>
      <c r="G18" s="141">
        <v>1</v>
      </c>
      <c r="H18" s="141">
        <v>1</v>
      </c>
      <c r="I18" s="123"/>
      <c r="J18" s="123"/>
      <c r="K18" s="123"/>
      <c r="L18" s="123"/>
      <c r="M18" s="123"/>
      <c r="N18" s="123"/>
      <c r="O18" s="123"/>
      <c r="P18" s="123"/>
    </row>
    <row r="19" spans="1:16" x14ac:dyDescent="0.25">
      <c r="B19" s="36" t="s">
        <v>17</v>
      </c>
      <c r="C19" s="43" t="s">
        <v>235</v>
      </c>
      <c r="D19" s="140">
        <v>1</v>
      </c>
      <c r="E19" s="140">
        <v>1</v>
      </c>
      <c r="F19" s="140">
        <v>1</v>
      </c>
      <c r="G19" s="140">
        <v>1</v>
      </c>
      <c r="H19" s="140">
        <v>1</v>
      </c>
      <c r="I19" s="123"/>
      <c r="J19" s="123"/>
      <c r="K19" s="123"/>
      <c r="L19" s="123"/>
      <c r="M19" s="123"/>
      <c r="N19" s="123"/>
      <c r="O19" s="123"/>
      <c r="P19" s="123"/>
    </row>
    <row r="20" spans="1:16" x14ac:dyDescent="0.25">
      <c r="C20" s="43" t="s">
        <v>236</v>
      </c>
      <c r="D20" s="141">
        <v>1</v>
      </c>
      <c r="E20" s="141">
        <v>1</v>
      </c>
      <c r="F20" s="141">
        <v>1</v>
      </c>
      <c r="G20" s="141">
        <v>1</v>
      </c>
      <c r="H20" s="141">
        <v>1</v>
      </c>
      <c r="I20" s="123"/>
      <c r="J20" s="123"/>
      <c r="K20" s="123"/>
      <c r="L20" s="123"/>
      <c r="M20" s="123"/>
      <c r="N20" s="123"/>
      <c r="O20" s="123"/>
      <c r="P20" s="123"/>
    </row>
    <row r="21" spans="1:16" x14ac:dyDescent="0.25">
      <c r="C21" s="43" t="s">
        <v>237</v>
      </c>
      <c r="D21" s="141">
        <v>1</v>
      </c>
      <c r="E21" s="141">
        <v>1.86</v>
      </c>
      <c r="F21" s="141">
        <v>1.86</v>
      </c>
      <c r="G21" s="141">
        <v>1.86</v>
      </c>
      <c r="H21" s="141">
        <v>1.86</v>
      </c>
      <c r="I21" s="123"/>
      <c r="J21" s="123"/>
      <c r="K21" s="123"/>
      <c r="L21" s="123"/>
      <c r="M21" s="123"/>
      <c r="N21" s="123"/>
      <c r="O21" s="123"/>
      <c r="P21" s="123"/>
    </row>
    <row r="22" spans="1:16" x14ac:dyDescent="0.25">
      <c r="C22" s="43" t="s">
        <v>238</v>
      </c>
      <c r="D22" s="141">
        <v>1</v>
      </c>
      <c r="E22" s="141">
        <v>3.01</v>
      </c>
      <c r="F22" s="141">
        <v>3.01</v>
      </c>
      <c r="G22" s="141">
        <v>3.01</v>
      </c>
      <c r="H22" s="141">
        <v>3.01</v>
      </c>
      <c r="I22" s="123"/>
      <c r="J22" s="123"/>
      <c r="K22" s="123"/>
      <c r="L22" s="123"/>
      <c r="M22" s="123"/>
      <c r="N22" s="123"/>
      <c r="O22" s="123"/>
      <c r="P22" s="123"/>
    </row>
    <row r="23" spans="1:16" x14ac:dyDescent="0.25">
      <c r="B23" s="36" t="s">
        <v>23</v>
      </c>
      <c r="C23" s="43" t="s">
        <v>235</v>
      </c>
      <c r="D23" s="140">
        <v>1</v>
      </c>
      <c r="E23" s="140">
        <v>1</v>
      </c>
      <c r="F23" s="140">
        <v>1</v>
      </c>
      <c r="G23" s="140">
        <v>1</v>
      </c>
      <c r="H23" s="140">
        <v>1</v>
      </c>
      <c r="I23" s="123"/>
      <c r="J23" s="123"/>
      <c r="K23" s="123"/>
      <c r="L23" s="123"/>
      <c r="M23" s="123"/>
      <c r="N23" s="123"/>
      <c r="O23" s="123"/>
      <c r="P23" s="123"/>
    </row>
    <row r="24" spans="1:16" x14ac:dyDescent="0.25">
      <c r="C24" s="43" t="s">
        <v>236</v>
      </c>
      <c r="D24" s="141">
        <v>1</v>
      </c>
      <c r="E24" s="141">
        <v>1</v>
      </c>
      <c r="F24" s="141">
        <v>1</v>
      </c>
      <c r="G24" s="141">
        <v>1</v>
      </c>
      <c r="H24" s="141">
        <v>1</v>
      </c>
      <c r="I24" s="123"/>
      <c r="J24" s="123"/>
      <c r="K24" s="123"/>
      <c r="L24" s="123"/>
      <c r="M24" s="123"/>
      <c r="N24" s="123"/>
      <c r="O24" s="123"/>
      <c r="P24" s="123"/>
    </row>
    <row r="25" spans="1:16" x14ac:dyDescent="0.25">
      <c r="C25" s="43" t="s">
        <v>237</v>
      </c>
      <c r="D25" s="141">
        <v>1</v>
      </c>
      <c r="E25" s="141">
        <v>1.86</v>
      </c>
      <c r="F25" s="141">
        <v>1.86</v>
      </c>
      <c r="G25" s="141">
        <v>1.86</v>
      </c>
      <c r="H25" s="141">
        <v>1.86</v>
      </c>
      <c r="I25" s="123"/>
      <c r="J25" s="123"/>
      <c r="K25" s="123"/>
      <c r="L25" s="123"/>
      <c r="M25" s="123"/>
      <c r="N25" s="123"/>
      <c r="O25" s="123"/>
      <c r="P25" s="123"/>
    </row>
    <row r="26" spans="1:16" x14ac:dyDescent="0.25">
      <c r="C26" s="43" t="s">
        <v>238</v>
      </c>
      <c r="D26" s="141">
        <v>1</v>
      </c>
      <c r="E26" s="141">
        <v>3.01</v>
      </c>
      <c r="F26" s="141">
        <v>3.01</v>
      </c>
      <c r="G26" s="141">
        <v>3.01</v>
      </c>
      <c r="H26" s="141">
        <v>3.01</v>
      </c>
      <c r="I26" s="123"/>
      <c r="J26" s="123"/>
      <c r="K26" s="123"/>
      <c r="L26" s="123"/>
      <c r="M26" s="123"/>
      <c r="N26" s="123"/>
      <c r="O26" s="123"/>
      <c r="P26" s="123"/>
    </row>
    <row r="28" spans="1:16" s="105" customFormat="1" ht="13" x14ac:dyDescent="0.3">
      <c r="A28" s="104" t="s">
        <v>239</v>
      </c>
    </row>
    <row r="29" spans="1:16" s="36" customFormat="1" ht="13" x14ac:dyDescent="0.3">
      <c r="A29" s="126" t="s">
        <v>240</v>
      </c>
      <c r="B29" s="99" t="s">
        <v>233</v>
      </c>
      <c r="C29" s="99" t="s">
        <v>241</v>
      </c>
      <c r="D29" s="108" t="s">
        <v>1</v>
      </c>
      <c r="E29" s="108" t="s">
        <v>2</v>
      </c>
      <c r="F29" s="108" t="s">
        <v>3</v>
      </c>
      <c r="G29" s="108" t="s">
        <v>4</v>
      </c>
      <c r="H29" s="108" t="s">
        <v>5</v>
      </c>
      <c r="I29" s="125"/>
      <c r="J29" s="125"/>
      <c r="K29" s="125"/>
      <c r="L29" s="125"/>
      <c r="M29" s="125"/>
      <c r="N29" s="125"/>
      <c r="O29" s="125"/>
      <c r="P29" s="125"/>
    </row>
    <row r="30" spans="1:16" ht="13" x14ac:dyDescent="0.3">
      <c r="A30" s="40"/>
      <c r="B30" s="35" t="s">
        <v>71</v>
      </c>
      <c r="C30" s="43" t="s">
        <v>235</v>
      </c>
      <c r="D30" s="140">
        <v>1</v>
      </c>
      <c r="E30" s="140">
        <v>1</v>
      </c>
      <c r="F30" s="140">
        <v>1</v>
      </c>
      <c r="G30" s="140">
        <v>1</v>
      </c>
      <c r="H30" s="140">
        <v>1</v>
      </c>
      <c r="I30" s="127"/>
      <c r="J30" s="123"/>
      <c r="K30" s="123"/>
      <c r="L30" s="123"/>
      <c r="M30" s="123"/>
      <c r="N30" s="123"/>
      <c r="O30" s="123"/>
      <c r="P30" s="123"/>
    </row>
    <row r="31" spans="1:16" x14ac:dyDescent="0.25">
      <c r="C31" s="43" t="s">
        <v>236</v>
      </c>
      <c r="D31" s="141">
        <v>1</v>
      </c>
      <c r="E31" s="141">
        <v>1.6</v>
      </c>
      <c r="F31" s="141">
        <v>1.6</v>
      </c>
      <c r="G31" s="141">
        <v>1.6</v>
      </c>
      <c r="H31" s="141">
        <v>1.6</v>
      </c>
      <c r="I31" s="123"/>
      <c r="J31" s="123"/>
      <c r="K31" s="123"/>
      <c r="L31" s="123"/>
      <c r="M31" s="123"/>
      <c r="N31" s="123"/>
      <c r="O31" s="123"/>
      <c r="P31" s="123"/>
    </row>
    <row r="32" spans="1:16" x14ac:dyDescent="0.25">
      <c r="C32" s="43" t="s">
        <v>65</v>
      </c>
      <c r="D32" s="141">
        <v>1</v>
      </c>
      <c r="E32" s="141">
        <v>3.41</v>
      </c>
      <c r="F32" s="141">
        <v>3.41</v>
      </c>
      <c r="G32" s="141">
        <v>3.41</v>
      </c>
      <c r="H32" s="141">
        <v>3.41</v>
      </c>
      <c r="I32" s="123"/>
      <c r="J32" s="123"/>
      <c r="K32" s="123"/>
      <c r="L32" s="123"/>
      <c r="M32" s="123"/>
      <c r="N32" s="123"/>
      <c r="O32" s="123"/>
      <c r="P32" s="123"/>
    </row>
    <row r="33" spans="2:16" x14ac:dyDescent="0.25">
      <c r="C33" s="43" t="s">
        <v>66</v>
      </c>
      <c r="D33" s="141">
        <v>1</v>
      </c>
      <c r="E33" s="141">
        <v>12.33</v>
      </c>
      <c r="F33" s="141">
        <v>12.33</v>
      </c>
      <c r="G33" s="141">
        <v>12.33</v>
      </c>
      <c r="H33" s="141">
        <v>12.33</v>
      </c>
      <c r="I33" s="123"/>
      <c r="J33" s="123"/>
      <c r="K33" s="123"/>
      <c r="L33" s="123"/>
      <c r="M33" s="123"/>
      <c r="N33" s="123"/>
      <c r="O33" s="123"/>
      <c r="P33" s="123"/>
    </row>
    <row r="34" spans="2:16" x14ac:dyDescent="0.25">
      <c r="B34" s="35" t="s">
        <v>16</v>
      </c>
      <c r="C34" s="43" t="s">
        <v>235</v>
      </c>
      <c r="D34" s="140">
        <v>1</v>
      </c>
      <c r="E34" s="140">
        <v>1</v>
      </c>
      <c r="F34" s="140">
        <v>1</v>
      </c>
      <c r="G34" s="140">
        <v>1</v>
      </c>
      <c r="H34" s="140">
        <v>1</v>
      </c>
      <c r="I34" s="123"/>
      <c r="J34" s="123"/>
      <c r="K34" s="123"/>
      <c r="L34" s="123"/>
      <c r="M34" s="123"/>
      <c r="N34" s="123"/>
      <c r="O34" s="123"/>
      <c r="P34" s="123"/>
    </row>
    <row r="35" spans="2:16" x14ac:dyDescent="0.25">
      <c r="C35" s="43" t="s">
        <v>236</v>
      </c>
      <c r="D35" s="141">
        <v>1</v>
      </c>
      <c r="E35" s="141">
        <v>1.92</v>
      </c>
      <c r="F35" s="141">
        <v>1.92</v>
      </c>
      <c r="G35" s="141">
        <v>1.92</v>
      </c>
      <c r="H35" s="141">
        <v>1.92</v>
      </c>
      <c r="I35" s="123"/>
      <c r="J35" s="123"/>
      <c r="K35" s="123"/>
      <c r="L35" s="123"/>
      <c r="M35" s="123"/>
      <c r="N35" s="123"/>
      <c r="O35" s="123"/>
      <c r="P35" s="123"/>
    </row>
    <row r="36" spans="2:16" x14ac:dyDescent="0.25">
      <c r="C36" s="43" t="s">
        <v>65</v>
      </c>
      <c r="D36" s="141">
        <v>1</v>
      </c>
      <c r="E36" s="141">
        <v>4.66</v>
      </c>
      <c r="F36" s="141">
        <v>4.66</v>
      </c>
      <c r="G36" s="141">
        <v>4.66</v>
      </c>
      <c r="H36" s="141">
        <v>4.66</v>
      </c>
      <c r="I36" s="123"/>
      <c r="J36" s="123"/>
      <c r="K36" s="123"/>
      <c r="L36" s="123"/>
      <c r="M36" s="123"/>
      <c r="N36" s="123"/>
      <c r="O36" s="123"/>
      <c r="P36" s="123"/>
    </row>
    <row r="37" spans="2:16" x14ac:dyDescent="0.25">
      <c r="C37" s="43" t="s">
        <v>66</v>
      </c>
      <c r="D37" s="141">
        <v>1</v>
      </c>
      <c r="E37" s="141">
        <v>9.68</v>
      </c>
      <c r="F37" s="141">
        <v>9.68</v>
      </c>
      <c r="G37" s="141">
        <v>9.68</v>
      </c>
      <c r="H37" s="141">
        <v>9.68</v>
      </c>
      <c r="I37" s="123"/>
      <c r="J37" s="123"/>
      <c r="K37" s="123"/>
      <c r="L37" s="123"/>
      <c r="M37" s="123"/>
      <c r="N37" s="123"/>
      <c r="O37" s="123"/>
      <c r="P37" s="123"/>
    </row>
    <row r="38" spans="2:16" x14ac:dyDescent="0.25">
      <c r="B38" s="35" t="s">
        <v>18</v>
      </c>
      <c r="C38" s="43" t="s">
        <v>235</v>
      </c>
      <c r="D38" s="140">
        <v>1</v>
      </c>
      <c r="E38" s="140">
        <v>1</v>
      </c>
      <c r="F38" s="140">
        <v>1</v>
      </c>
      <c r="G38" s="140">
        <v>1</v>
      </c>
      <c r="H38" s="140">
        <v>1</v>
      </c>
      <c r="I38" s="123"/>
      <c r="J38" s="123"/>
      <c r="K38" s="123"/>
      <c r="L38" s="123"/>
      <c r="M38" s="123"/>
      <c r="N38" s="123"/>
      <c r="O38" s="123"/>
      <c r="P38" s="123"/>
    </row>
    <row r="39" spans="2:16" x14ac:dyDescent="0.25">
      <c r="C39" s="43" t="s">
        <v>236</v>
      </c>
      <c r="D39" s="141">
        <v>1</v>
      </c>
      <c r="E39" s="141">
        <v>1</v>
      </c>
      <c r="F39" s="141">
        <v>1</v>
      </c>
      <c r="G39" s="141">
        <v>1</v>
      </c>
      <c r="H39" s="141">
        <v>1</v>
      </c>
      <c r="I39" s="123"/>
      <c r="J39" s="123"/>
      <c r="K39" s="123"/>
      <c r="L39" s="123"/>
      <c r="M39" s="123"/>
      <c r="N39" s="123"/>
      <c r="O39" s="123"/>
      <c r="P39" s="123"/>
    </row>
    <row r="40" spans="2:16" x14ac:dyDescent="0.25">
      <c r="C40" s="43" t="s">
        <v>65</v>
      </c>
      <c r="D40" s="141">
        <v>1</v>
      </c>
      <c r="E40" s="141">
        <v>2.58</v>
      </c>
      <c r="F40" s="141">
        <v>2.58</v>
      </c>
      <c r="G40" s="141">
        <v>2.58</v>
      </c>
      <c r="H40" s="141">
        <v>2.58</v>
      </c>
      <c r="I40" s="123"/>
      <c r="J40" s="123"/>
      <c r="K40" s="123"/>
      <c r="L40" s="123"/>
      <c r="M40" s="123"/>
      <c r="N40" s="123"/>
      <c r="O40" s="123"/>
      <c r="P40" s="123"/>
    </row>
    <row r="41" spans="2:16" x14ac:dyDescent="0.25">
      <c r="C41" s="43" t="s">
        <v>66</v>
      </c>
      <c r="D41" s="141">
        <v>1</v>
      </c>
      <c r="E41" s="141">
        <v>9.6300000000000008</v>
      </c>
      <c r="F41" s="141">
        <v>9.6300000000000008</v>
      </c>
      <c r="G41" s="141">
        <v>9.6300000000000008</v>
      </c>
      <c r="H41" s="141">
        <v>9.6300000000000008</v>
      </c>
      <c r="I41" s="123"/>
      <c r="J41" s="123"/>
      <c r="K41" s="123"/>
      <c r="L41" s="123"/>
      <c r="M41" s="123"/>
      <c r="N41" s="123"/>
      <c r="O41" s="123"/>
      <c r="P41" s="123"/>
    </row>
    <row r="42" spans="2:16" x14ac:dyDescent="0.25">
      <c r="B42" s="35" t="s">
        <v>19</v>
      </c>
      <c r="C42" s="43" t="s">
        <v>235</v>
      </c>
      <c r="D42" s="140">
        <v>1</v>
      </c>
      <c r="E42" s="140">
        <v>1</v>
      </c>
      <c r="F42" s="140">
        <v>1</v>
      </c>
      <c r="G42" s="140">
        <v>1</v>
      </c>
      <c r="H42" s="140">
        <v>1</v>
      </c>
      <c r="I42" s="123"/>
      <c r="J42" s="123"/>
      <c r="K42" s="123"/>
      <c r="L42" s="123"/>
      <c r="M42" s="123"/>
      <c r="N42" s="123"/>
      <c r="O42" s="123"/>
      <c r="P42" s="123"/>
    </row>
    <row r="43" spans="2:16" x14ac:dyDescent="0.25">
      <c r="C43" s="43" t="s">
        <v>236</v>
      </c>
      <c r="D43" s="141">
        <v>1</v>
      </c>
      <c r="E43" s="141">
        <v>1</v>
      </c>
      <c r="F43" s="141">
        <v>1</v>
      </c>
      <c r="G43" s="141">
        <v>1</v>
      </c>
      <c r="H43" s="141">
        <v>1</v>
      </c>
      <c r="I43" s="123"/>
      <c r="J43" s="123"/>
      <c r="K43" s="123"/>
      <c r="L43" s="123"/>
      <c r="M43" s="123"/>
      <c r="N43" s="123"/>
      <c r="O43" s="123"/>
      <c r="P43" s="123"/>
    </row>
    <row r="44" spans="2:16" x14ac:dyDescent="0.25">
      <c r="C44" s="43" t="s">
        <v>65</v>
      </c>
      <c r="D44" s="141">
        <v>1</v>
      </c>
      <c r="E44" s="141">
        <v>1</v>
      </c>
      <c r="F44" s="141">
        <v>1</v>
      </c>
      <c r="G44" s="141">
        <v>1</v>
      </c>
      <c r="H44" s="141">
        <v>1</v>
      </c>
      <c r="I44" s="123"/>
      <c r="J44" s="123"/>
      <c r="K44" s="123"/>
      <c r="L44" s="123"/>
      <c r="M44" s="123"/>
      <c r="N44" s="123"/>
      <c r="O44" s="123"/>
      <c r="P44" s="123"/>
    </row>
    <row r="45" spans="2:16" x14ac:dyDescent="0.25">
      <c r="C45" s="43" t="s">
        <v>66</v>
      </c>
      <c r="D45" s="141">
        <v>1</v>
      </c>
      <c r="E45" s="141">
        <v>1</v>
      </c>
      <c r="F45" s="141">
        <v>1</v>
      </c>
      <c r="G45" s="141">
        <v>1</v>
      </c>
      <c r="H45" s="141">
        <v>1</v>
      </c>
      <c r="I45" s="123"/>
      <c r="J45" s="123"/>
      <c r="K45" s="123"/>
      <c r="L45" s="123"/>
      <c r="M45" s="123"/>
      <c r="N45" s="123"/>
      <c r="O45" s="123"/>
      <c r="P45" s="123"/>
    </row>
    <row r="46" spans="2:16" x14ac:dyDescent="0.25">
      <c r="B46" s="35" t="s">
        <v>17</v>
      </c>
      <c r="C46" s="43" t="s">
        <v>235</v>
      </c>
      <c r="D46" s="140">
        <v>1</v>
      </c>
      <c r="E46" s="140">
        <v>1</v>
      </c>
      <c r="F46" s="140">
        <v>1</v>
      </c>
      <c r="G46" s="140">
        <v>1</v>
      </c>
      <c r="H46" s="140">
        <v>1</v>
      </c>
      <c r="I46" s="123"/>
      <c r="J46" s="123"/>
      <c r="K46" s="123"/>
      <c r="L46" s="123"/>
      <c r="M46" s="123"/>
      <c r="N46" s="123"/>
      <c r="O46" s="123"/>
      <c r="P46" s="123"/>
    </row>
    <row r="47" spans="2:16" x14ac:dyDescent="0.25">
      <c r="C47" s="43" t="s">
        <v>236</v>
      </c>
      <c r="D47" s="141">
        <v>1</v>
      </c>
      <c r="E47" s="141">
        <v>1.65</v>
      </c>
      <c r="F47" s="141">
        <v>1.65</v>
      </c>
      <c r="G47" s="141">
        <v>1.65</v>
      </c>
      <c r="H47" s="141">
        <v>1.65</v>
      </c>
      <c r="I47" s="123"/>
      <c r="J47" s="123"/>
      <c r="K47" s="123"/>
      <c r="L47" s="123"/>
      <c r="M47" s="123"/>
      <c r="N47" s="123"/>
      <c r="O47" s="123"/>
      <c r="P47" s="123"/>
    </row>
    <row r="48" spans="2:16" x14ac:dyDescent="0.25">
      <c r="C48" s="43" t="s">
        <v>65</v>
      </c>
      <c r="D48" s="141">
        <v>1</v>
      </c>
      <c r="E48" s="141">
        <v>2.73</v>
      </c>
      <c r="F48" s="141">
        <v>2.73</v>
      </c>
      <c r="G48" s="141">
        <v>2.73</v>
      </c>
      <c r="H48" s="141">
        <v>2.73</v>
      </c>
      <c r="I48" s="123"/>
      <c r="J48" s="123"/>
      <c r="K48" s="123"/>
      <c r="L48" s="123"/>
      <c r="M48" s="123"/>
      <c r="N48" s="123"/>
      <c r="O48" s="123"/>
      <c r="P48" s="123"/>
    </row>
    <row r="49" spans="1:16" x14ac:dyDescent="0.25">
      <c r="C49" s="43" t="s">
        <v>66</v>
      </c>
      <c r="D49" s="141">
        <v>1</v>
      </c>
      <c r="E49" s="141">
        <v>11.21</v>
      </c>
      <c r="F49" s="141">
        <v>11.21</v>
      </c>
      <c r="G49" s="141">
        <v>11.21</v>
      </c>
      <c r="H49" s="141">
        <v>11.21</v>
      </c>
      <c r="I49" s="123"/>
      <c r="J49" s="123"/>
      <c r="K49" s="123"/>
      <c r="L49" s="123"/>
      <c r="M49" s="123"/>
      <c r="N49" s="123"/>
      <c r="O49" s="123"/>
      <c r="P49" s="123"/>
    </row>
    <row r="50" spans="1:16" x14ac:dyDescent="0.25">
      <c r="B50" s="35" t="s">
        <v>23</v>
      </c>
      <c r="C50" s="43" t="s">
        <v>235</v>
      </c>
      <c r="D50" s="140">
        <v>1</v>
      </c>
      <c r="E50" s="140">
        <v>1</v>
      </c>
      <c r="F50" s="140">
        <v>1</v>
      </c>
      <c r="G50" s="140">
        <v>1</v>
      </c>
      <c r="H50" s="140">
        <v>1</v>
      </c>
      <c r="I50" s="123"/>
      <c r="J50" s="123"/>
      <c r="K50" s="123"/>
      <c r="L50" s="123"/>
      <c r="M50" s="123"/>
      <c r="N50" s="123"/>
      <c r="O50" s="123"/>
      <c r="P50" s="123"/>
    </row>
    <row r="51" spans="1:16" x14ac:dyDescent="0.25">
      <c r="C51" s="43" t="s">
        <v>236</v>
      </c>
      <c r="D51" s="141">
        <v>1</v>
      </c>
      <c r="E51" s="141">
        <v>1.65</v>
      </c>
      <c r="F51" s="141">
        <v>1.65</v>
      </c>
      <c r="G51" s="141">
        <v>1.65</v>
      </c>
      <c r="H51" s="141">
        <v>1.65</v>
      </c>
      <c r="I51" s="123"/>
      <c r="J51" s="123"/>
      <c r="K51" s="123"/>
      <c r="L51" s="123"/>
      <c r="M51" s="123"/>
      <c r="N51" s="123"/>
      <c r="O51" s="123"/>
      <c r="P51" s="123"/>
    </row>
    <row r="52" spans="1:16" x14ac:dyDescent="0.25">
      <c r="C52" s="43" t="s">
        <v>65</v>
      </c>
      <c r="D52" s="141">
        <v>1</v>
      </c>
      <c r="E52" s="141">
        <v>2.73</v>
      </c>
      <c r="F52" s="141">
        <v>2.73</v>
      </c>
      <c r="G52" s="141">
        <v>2.73</v>
      </c>
      <c r="H52" s="141">
        <v>2.73</v>
      </c>
      <c r="I52" s="123"/>
      <c r="J52" s="123"/>
      <c r="K52" s="123"/>
      <c r="L52" s="123"/>
      <c r="M52" s="123"/>
      <c r="N52" s="123"/>
      <c r="O52" s="123"/>
      <c r="P52" s="123"/>
    </row>
    <row r="53" spans="1:16" x14ac:dyDescent="0.25">
      <c r="C53" s="43" t="s">
        <v>66</v>
      </c>
      <c r="D53" s="141">
        <v>1</v>
      </c>
      <c r="E53" s="141">
        <v>11.21</v>
      </c>
      <c r="F53" s="141">
        <v>11.21</v>
      </c>
      <c r="G53" s="141">
        <v>11.21</v>
      </c>
      <c r="H53" s="141">
        <v>11.21</v>
      </c>
      <c r="I53" s="123"/>
      <c r="J53" s="123"/>
      <c r="K53" s="123"/>
      <c r="L53" s="123"/>
      <c r="M53" s="123"/>
      <c r="N53" s="123"/>
      <c r="O53" s="123"/>
      <c r="P53" s="123"/>
    </row>
    <row r="54" spans="1:16" x14ac:dyDescent="0.25">
      <c r="C54" s="43"/>
      <c r="D54" s="43"/>
    </row>
    <row r="55" spans="1:16" s="105" customFormat="1" ht="13" x14ac:dyDescent="0.3">
      <c r="A55" s="104" t="s">
        <v>242</v>
      </c>
    </row>
    <row r="56" spans="1:16" s="36" customFormat="1" ht="26" x14ac:dyDescent="0.3">
      <c r="A56" s="126" t="s">
        <v>70</v>
      </c>
      <c r="B56" s="99" t="s">
        <v>233</v>
      </c>
      <c r="C56" s="128" t="s">
        <v>243</v>
      </c>
      <c r="D56" s="108" t="s">
        <v>53</v>
      </c>
      <c r="E56" s="108" t="s">
        <v>54</v>
      </c>
      <c r="F56" s="108" t="s">
        <v>55</v>
      </c>
      <c r="G56" s="108" t="s">
        <v>56</v>
      </c>
      <c r="H56" s="125"/>
      <c r="M56" s="125"/>
      <c r="N56" s="125"/>
      <c r="O56" s="125"/>
      <c r="P56" s="125"/>
    </row>
    <row r="57" spans="1:16" ht="13" x14ac:dyDescent="0.3">
      <c r="A57" s="40"/>
      <c r="B57" s="35" t="s">
        <v>38</v>
      </c>
      <c r="C57" s="43" t="s">
        <v>244</v>
      </c>
      <c r="D57" s="140">
        <v>1</v>
      </c>
      <c r="E57" s="140">
        <v>1</v>
      </c>
      <c r="F57" s="140">
        <v>1</v>
      </c>
      <c r="G57" s="140">
        <v>1</v>
      </c>
      <c r="H57" s="123"/>
      <c r="M57" s="123"/>
      <c r="N57" s="123"/>
      <c r="O57" s="123"/>
      <c r="P57" s="123"/>
    </row>
    <row r="58" spans="1:16" x14ac:dyDescent="0.25">
      <c r="C58" s="43" t="s">
        <v>245</v>
      </c>
      <c r="D58" s="141">
        <v>10.675000000000001</v>
      </c>
      <c r="E58" s="141">
        <v>10.675000000000001</v>
      </c>
      <c r="F58" s="141">
        <v>10.675000000000001</v>
      </c>
      <c r="G58" s="141">
        <v>10.675000000000001</v>
      </c>
      <c r="H58" s="123"/>
      <c r="M58" s="123"/>
      <c r="N58" s="123"/>
      <c r="O58" s="123"/>
      <c r="P58" s="123"/>
    </row>
    <row r="59" spans="1:16" x14ac:dyDescent="0.25">
      <c r="B59" s="35" t="s">
        <v>39</v>
      </c>
      <c r="C59" s="43" t="s">
        <v>244</v>
      </c>
      <c r="D59" s="140">
        <v>1</v>
      </c>
      <c r="E59" s="140">
        <v>1</v>
      </c>
      <c r="F59" s="140">
        <v>1</v>
      </c>
      <c r="G59" s="140">
        <v>1</v>
      </c>
      <c r="H59" s="123"/>
      <c r="M59" s="123"/>
      <c r="N59" s="123"/>
      <c r="O59" s="123"/>
      <c r="P59" s="123"/>
    </row>
    <row r="60" spans="1:16" x14ac:dyDescent="0.25">
      <c r="C60" s="43" t="s">
        <v>245</v>
      </c>
      <c r="D60" s="141">
        <v>10.675000000000001</v>
      </c>
      <c r="E60" s="141">
        <v>10.675000000000001</v>
      </c>
      <c r="F60" s="141">
        <v>10.675000000000001</v>
      </c>
      <c r="G60" s="141">
        <v>10.675000000000001</v>
      </c>
      <c r="H60" s="123"/>
      <c r="M60" s="123"/>
      <c r="N60" s="123"/>
      <c r="O60" s="123"/>
      <c r="P60" s="123"/>
    </row>
    <row r="61" spans="1:16" x14ac:dyDescent="0.25">
      <c r="B61" s="35" t="s">
        <v>40</v>
      </c>
      <c r="C61" s="43" t="s">
        <v>244</v>
      </c>
      <c r="D61" s="140">
        <v>1</v>
      </c>
      <c r="E61" s="140">
        <v>1</v>
      </c>
      <c r="F61" s="140">
        <v>1</v>
      </c>
      <c r="G61" s="140">
        <v>1</v>
      </c>
      <c r="H61" s="123"/>
      <c r="M61" s="123"/>
      <c r="N61" s="123"/>
      <c r="O61" s="123"/>
      <c r="P61" s="123"/>
    </row>
    <row r="62" spans="1:16" x14ac:dyDescent="0.25">
      <c r="C62" s="43" t="s">
        <v>245</v>
      </c>
      <c r="D62" s="141">
        <v>10.675000000000001</v>
      </c>
      <c r="E62" s="141">
        <v>10.675000000000001</v>
      </c>
      <c r="F62" s="141">
        <v>10.675000000000001</v>
      </c>
      <c r="G62" s="141">
        <v>10.675000000000001</v>
      </c>
      <c r="H62" s="123"/>
      <c r="M62" s="123"/>
      <c r="N62" s="123"/>
      <c r="O62" s="123"/>
      <c r="P62" s="123"/>
    </row>
    <row r="63" spans="1:16" x14ac:dyDescent="0.25">
      <c r="C63" s="43"/>
      <c r="D63" s="43"/>
    </row>
    <row r="64" spans="1:16" s="105" customFormat="1" ht="13" x14ac:dyDescent="0.3">
      <c r="A64" s="104" t="s">
        <v>246</v>
      </c>
    </row>
    <row r="65" spans="1:16" s="36" customFormat="1" ht="26" x14ac:dyDescent="0.3">
      <c r="A65" s="126" t="s">
        <v>24</v>
      </c>
      <c r="B65" s="99" t="s">
        <v>233</v>
      </c>
      <c r="C65" s="128" t="s">
        <v>247</v>
      </c>
      <c r="D65" s="108" t="s">
        <v>1</v>
      </c>
      <c r="E65" s="108" t="s">
        <v>2</v>
      </c>
      <c r="F65" s="108" t="s">
        <v>3</v>
      </c>
      <c r="G65" s="108" t="s">
        <v>4</v>
      </c>
      <c r="H65" s="129" t="s">
        <v>5</v>
      </c>
      <c r="I65" s="125"/>
      <c r="J65" s="125"/>
      <c r="K65" s="125"/>
      <c r="L65" s="125"/>
      <c r="M65" s="125"/>
      <c r="N65" s="125"/>
      <c r="O65" s="125"/>
      <c r="P65" s="125"/>
    </row>
    <row r="66" spans="1:16" ht="13" x14ac:dyDescent="0.3">
      <c r="A66" s="130"/>
      <c r="B66" s="35" t="s">
        <v>73</v>
      </c>
      <c r="C66" s="43" t="s">
        <v>166</v>
      </c>
      <c r="D66" s="140">
        <v>1</v>
      </c>
      <c r="E66" s="140">
        <v>1</v>
      </c>
      <c r="F66" s="140">
        <v>1</v>
      </c>
      <c r="G66" s="140">
        <v>1</v>
      </c>
      <c r="H66" s="123">
        <v>1</v>
      </c>
      <c r="I66" s="123"/>
      <c r="J66" s="123"/>
      <c r="K66" s="123"/>
      <c r="L66" s="123"/>
      <c r="M66" s="123"/>
      <c r="N66" s="123"/>
      <c r="O66" s="123"/>
      <c r="P66" s="123"/>
    </row>
    <row r="67" spans="1:16" x14ac:dyDescent="0.25">
      <c r="C67" s="43" t="s">
        <v>167</v>
      </c>
      <c r="D67" s="141">
        <v>1.35</v>
      </c>
      <c r="E67" s="141">
        <v>1</v>
      </c>
      <c r="F67" s="141">
        <v>1</v>
      </c>
      <c r="G67" s="141">
        <v>1</v>
      </c>
      <c r="H67" s="123">
        <v>1</v>
      </c>
      <c r="I67" s="123"/>
      <c r="J67" s="123"/>
      <c r="K67" s="123"/>
      <c r="L67" s="123"/>
      <c r="M67" s="123"/>
      <c r="N67" s="123"/>
      <c r="O67" s="123"/>
      <c r="P67" s="123"/>
    </row>
    <row r="68" spans="1:16" x14ac:dyDescent="0.25">
      <c r="C68" s="43" t="s">
        <v>168</v>
      </c>
      <c r="D68" s="141">
        <v>1.35</v>
      </c>
      <c r="E68" s="141">
        <v>1</v>
      </c>
      <c r="F68" s="141">
        <v>1</v>
      </c>
      <c r="G68" s="141">
        <v>1</v>
      </c>
      <c r="H68" s="123">
        <v>1</v>
      </c>
      <c r="I68" s="123"/>
      <c r="J68" s="123"/>
      <c r="K68" s="123"/>
      <c r="L68" s="123"/>
      <c r="M68" s="123"/>
      <c r="N68" s="123"/>
      <c r="O68" s="123"/>
      <c r="P68" s="123"/>
    </row>
    <row r="69" spans="1:16" x14ac:dyDescent="0.25">
      <c r="C69" s="43" t="s">
        <v>169</v>
      </c>
      <c r="D69" s="141">
        <v>5.4</v>
      </c>
      <c r="E69" s="141">
        <v>1</v>
      </c>
      <c r="F69" s="141">
        <v>1</v>
      </c>
      <c r="G69" s="141">
        <v>1</v>
      </c>
      <c r="H69" s="123">
        <v>1</v>
      </c>
      <c r="I69" s="123"/>
      <c r="J69" s="123"/>
      <c r="K69" s="123"/>
      <c r="L69" s="123"/>
      <c r="M69" s="123"/>
      <c r="N69" s="123"/>
      <c r="O69" s="123"/>
      <c r="P69" s="123"/>
    </row>
    <row r="70" spans="1:16" x14ac:dyDescent="0.25">
      <c r="B70" s="35" t="s">
        <v>7</v>
      </c>
      <c r="C70" s="43" t="s">
        <v>166</v>
      </c>
      <c r="D70" s="140">
        <v>1</v>
      </c>
      <c r="E70" s="140">
        <v>1</v>
      </c>
      <c r="F70" s="140">
        <v>1</v>
      </c>
      <c r="G70" s="140">
        <v>1</v>
      </c>
      <c r="H70" s="123">
        <v>1</v>
      </c>
      <c r="I70" s="123"/>
      <c r="J70" s="123"/>
      <c r="K70" s="123"/>
      <c r="L70" s="123"/>
      <c r="M70" s="123"/>
      <c r="N70" s="123"/>
      <c r="O70" s="123"/>
      <c r="P70" s="123"/>
    </row>
    <row r="71" spans="1:16" x14ac:dyDescent="0.25">
      <c r="C71" s="43" t="s">
        <v>167</v>
      </c>
      <c r="D71" s="141">
        <v>1.35</v>
      </c>
      <c r="E71" s="141">
        <v>1</v>
      </c>
      <c r="F71" s="141">
        <v>1</v>
      </c>
      <c r="G71" s="141">
        <v>1</v>
      </c>
      <c r="H71" s="123">
        <v>1</v>
      </c>
      <c r="I71" s="123"/>
      <c r="J71" s="123"/>
      <c r="K71" s="123"/>
      <c r="L71" s="123"/>
      <c r="M71" s="123"/>
      <c r="N71" s="123"/>
      <c r="O71" s="123"/>
      <c r="P71" s="123"/>
    </row>
    <row r="72" spans="1:16" x14ac:dyDescent="0.25">
      <c r="C72" s="43" t="s">
        <v>168</v>
      </c>
      <c r="D72" s="141">
        <v>1.35</v>
      </c>
      <c r="E72" s="141">
        <v>1</v>
      </c>
      <c r="F72" s="141">
        <v>1</v>
      </c>
      <c r="G72" s="141">
        <v>1</v>
      </c>
      <c r="H72" s="123">
        <v>1</v>
      </c>
      <c r="I72" s="123"/>
      <c r="J72" s="123"/>
      <c r="K72" s="123"/>
      <c r="L72" s="123"/>
      <c r="M72" s="123"/>
      <c r="N72" s="123"/>
      <c r="O72" s="123"/>
      <c r="P72" s="123"/>
    </row>
    <row r="73" spans="1:16" x14ac:dyDescent="0.25">
      <c r="C73" s="43" t="s">
        <v>169</v>
      </c>
      <c r="D73" s="141">
        <v>5.4</v>
      </c>
      <c r="E73" s="141">
        <v>1</v>
      </c>
      <c r="F73" s="141">
        <v>1</v>
      </c>
      <c r="G73" s="141">
        <v>1</v>
      </c>
      <c r="H73" s="123">
        <v>1</v>
      </c>
      <c r="I73" s="123"/>
      <c r="J73" s="123"/>
      <c r="K73" s="123"/>
      <c r="L73" s="123"/>
      <c r="M73" s="123"/>
      <c r="N73" s="123"/>
      <c r="O73" s="123"/>
      <c r="P73" s="123"/>
    </row>
    <row r="74" spans="1:16" x14ac:dyDescent="0.25">
      <c r="B74" s="35" t="s">
        <v>8</v>
      </c>
      <c r="C74" s="43" t="s">
        <v>166</v>
      </c>
      <c r="D74" s="140">
        <v>1</v>
      </c>
      <c r="E74" s="140">
        <v>1</v>
      </c>
      <c r="F74" s="140">
        <v>1</v>
      </c>
      <c r="G74" s="140">
        <v>1</v>
      </c>
      <c r="H74" s="123">
        <v>1</v>
      </c>
      <c r="I74" s="123"/>
      <c r="J74" s="123"/>
      <c r="K74" s="123"/>
      <c r="L74" s="123"/>
      <c r="M74" s="123"/>
      <c r="N74" s="123"/>
      <c r="O74" s="123"/>
      <c r="P74" s="123"/>
    </row>
    <row r="75" spans="1:16" x14ac:dyDescent="0.25">
      <c r="C75" s="43" t="s">
        <v>167</v>
      </c>
      <c r="D75" s="141">
        <v>1.35</v>
      </c>
      <c r="E75" s="141">
        <v>1</v>
      </c>
      <c r="F75" s="141">
        <v>1</v>
      </c>
      <c r="G75" s="141">
        <v>1</v>
      </c>
      <c r="H75" s="123">
        <v>1</v>
      </c>
      <c r="I75" s="123"/>
      <c r="J75" s="123"/>
      <c r="K75" s="123"/>
      <c r="L75" s="123"/>
      <c r="M75" s="123"/>
      <c r="N75" s="123"/>
      <c r="O75" s="123"/>
      <c r="P75" s="123"/>
    </row>
    <row r="76" spans="1:16" x14ac:dyDescent="0.25">
      <c r="C76" s="43" t="s">
        <v>168</v>
      </c>
      <c r="D76" s="141">
        <v>1.35</v>
      </c>
      <c r="E76" s="141">
        <v>1</v>
      </c>
      <c r="F76" s="141">
        <v>1</v>
      </c>
      <c r="G76" s="141">
        <v>1</v>
      </c>
      <c r="H76" s="123">
        <v>1</v>
      </c>
      <c r="I76" s="123"/>
      <c r="J76" s="123"/>
      <c r="K76" s="123"/>
      <c r="L76" s="123"/>
      <c r="M76" s="123"/>
      <c r="N76" s="123"/>
      <c r="O76" s="123"/>
      <c r="P76" s="123"/>
    </row>
    <row r="77" spans="1:16" x14ac:dyDescent="0.25">
      <c r="C77" s="43" t="s">
        <v>169</v>
      </c>
      <c r="D77" s="141">
        <v>5.4</v>
      </c>
      <c r="E77" s="141">
        <v>1</v>
      </c>
      <c r="F77" s="141">
        <v>1</v>
      </c>
      <c r="G77" s="141">
        <v>1</v>
      </c>
      <c r="H77" s="123">
        <v>1</v>
      </c>
      <c r="I77" s="123"/>
      <c r="J77" s="123"/>
      <c r="K77" s="123"/>
      <c r="L77" s="123"/>
      <c r="M77" s="123"/>
      <c r="N77" s="123"/>
      <c r="O77" s="123"/>
      <c r="P77" s="123"/>
    </row>
    <row r="78" spans="1:16" x14ac:dyDescent="0.25">
      <c r="B78" s="35" t="s">
        <v>13</v>
      </c>
      <c r="C78" s="43" t="s">
        <v>166</v>
      </c>
      <c r="D78" s="140">
        <v>1</v>
      </c>
      <c r="E78" s="140">
        <v>1</v>
      </c>
      <c r="F78" s="140">
        <v>1</v>
      </c>
      <c r="G78" s="140">
        <v>1</v>
      </c>
      <c r="H78" s="123">
        <v>1</v>
      </c>
      <c r="I78" s="123"/>
      <c r="J78" s="123"/>
      <c r="K78" s="123"/>
      <c r="L78" s="123"/>
      <c r="M78" s="123"/>
      <c r="N78" s="123"/>
      <c r="O78" s="123"/>
      <c r="P78" s="123"/>
    </row>
    <row r="79" spans="1:16" x14ac:dyDescent="0.25">
      <c r="C79" s="43" t="s">
        <v>167</v>
      </c>
      <c r="D79" s="141">
        <v>1</v>
      </c>
      <c r="E79" s="141">
        <v>1</v>
      </c>
      <c r="F79" s="141">
        <v>1</v>
      </c>
      <c r="G79" s="141">
        <v>1</v>
      </c>
      <c r="H79" s="123">
        <v>1</v>
      </c>
      <c r="I79" s="123"/>
      <c r="J79" s="123"/>
      <c r="K79" s="123"/>
      <c r="L79" s="123"/>
      <c r="M79" s="123"/>
      <c r="N79" s="123"/>
      <c r="O79" s="123"/>
      <c r="P79" s="123"/>
    </row>
    <row r="80" spans="1:16" x14ac:dyDescent="0.25">
      <c r="C80" s="43" t="s">
        <v>168</v>
      </c>
      <c r="D80" s="141">
        <v>1</v>
      </c>
      <c r="E80" s="141">
        <v>1</v>
      </c>
      <c r="F80" s="141">
        <v>1</v>
      </c>
      <c r="G80" s="141">
        <v>1</v>
      </c>
      <c r="H80" s="123">
        <v>1</v>
      </c>
      <c r="I80" s="123"/>
      <c r="J80" s="123"/>
      <c r="K80" s="123"/>
      <c r="L80" s="123"/>
      <c r="M80" s="123"/>
      <c r="N80" s="123"/>
      <c r="O80" s="123"/>
      <c r="P80" s="123"/>
    </row>
    <row r="81" spans="2:16" x14ac:dyDescent="0.25">
      <c r="C81" s="43" t="s">
        <v>169</v>
      </c>
      <c r="D81" s="141">
        <v>1</v>
      </c>
      <c r="E81" s="141">
        <v>1</v>
      </c>
      <c r="F81" s="141">
        <v>1</v>
      </c>
      <c r="G81" s="141">
        <v>1</v>
      </c>
      <c r="H81" s="123">
        <v>1</v>
      </c>
      <c r="I81" s="123"/>
      <c r="J81" s="123"/>
      <c r="K81" s="123"/>
      <c r="L81" s="123"/>
      <c r="M81" s="123"/>
      <c r="N81" s="123"/>
      <c r="O81" s="123"/>
      <c r="P81" s="123"/>
    </row>
    <row r="82" spans="2:16" x14ac:dyDescent="0.25">
      <c r="B82" s="35" t="s">
        <v>71</v>
      </c>
      <c r="C82" s="43" t="s">
        <v>166</v>
      </c>
      <c r="D82" s="140">
        <v>1</v>
      </c>
      <c r="E82" s="140">
        <v>1</v>
      </c>
      <c r="F82" s="140">
        <v>1</v>
      </c>
      <c r="G82" s="140">
        <v>1</v>
      </c>
      <c r="H82" s="123">
        <v>1</v>
      </c>
      <c r="I82" s="123"/>
      <c r="J82" s="123"/>
      <c r="K82" s="123"/>
      <c r="L82" s="123"/>
      <c r="M82" s="123"/>
      <c r="N82" s="123"/>
      <c r="O82" s="123"/>
      <c r="P82" s="123"/>
    </row>
    <row r="83" spans="2:16" x14ac:dyDescent="0.25">
      <c r="C83" s="43" t="s">
        <v>167</v>
      </c>
      <c r="D83" s="141">
        <v>1</v>
      </c>
      <c r="E83" s="141">
        <v>2.2799999999999998</v>
      </c>
      <c r="F83" s="141">
        <v>1</v>
      </c>
      <c r="G83" s="141">
        <v>1</v>
      </c>
      <c r="H83" s="123">
        <v>1</v>
      </c>
      <c r="I83" s="123"/>
      <c r="J83" s="123"/>
      <c r="K83" s="123"/>
      <c r="L83" s="123"/>
      <c r="M83" s="123"/>
      <c r="N83" s="123"/>
      <c r="O83" s="123"/>
      <c r="P83" s="123"/>
    </row>
    <row r="84" spans="2:16" x14ac:dyDescent="0.25">
      <c r="C84" s="43" t="s">
        <v>168</v>
      </c>
      <c r="D84" s="141">
        <v>1</v>
      </c>
      <c r="E84" s="141">
        <v>4.62</v>
      </c>
      <c r="F84" s="141">
        <v>1</v>
      </c>
      <c r="G84" s="141">
        <v>1</v>
      </c>
      <c r="H84" s="123">
        <v>1</v>
      </c>
      <c r="I84" s="123"/>
      <c r="J84" s="123"/>
      <c r="K84" s="123"/>
      <c r="L84" s="123"/>
      <c r="M84" s="123"/>
      <c r="N84" s="123"/>
      <c r="O84" s="123"/>
      <c r="P84" s="123"/>
    </row>
    <row r="85" spans="2:16" x14ac:dyDescent="0.25">
      <c r="C85" s="43" t="s">
        <v>169</v>
      </c>
      <c r="D85" s="141">
        <v>1</v>
      </c>
      <c r="E85" s="141">
        <v>10.53</v>
      </c>
      <c r="F85" s="141">
        <v>1.47</v>
      </c>
      <c r="G85" s="141">
        <v>2.57</v>
      </c>
      <c r="H85" s="123">
        <v>1</v>
      </c>
      <c r="I85" s="123"/>
      <c r="J85" s="123"/>
      <c r="K85" s="123"/>
      <c r="L85" s="123"/>
      <c r="M85" s="123"/>
      <c r="N85" s="123"/>
      <c r="O85" s="123"/>
      <c r="P85" s="123"/>
    </row>
    <row r="86" spans="2:16" x14ac:dyDescent="0.25">
      <c r="B86" s="35" t="s">
        <v>16</v>
      </c>
      <c r="C86" s="43" t="s">
        <v>166</v>
      </c>
      <c r="D86" s="140">
        <v>1</v>
      </c>
      <c r="E86" s="140">
        <v>1</v>
      </c>
      <c r="F86" s="140">
        <v>1</v>
      </c>
      <c r="G86" s="140">
        <v>1</v>
      </c>
      <c r="H86" s="123">
        <v>1</v>
      </c>
      <c r="I86" s="123"/>
      <c r="J86" s="123"/>
      <c r="K86" s="123"/>
      <c r="L86" s="123"/>
      <c r="M86" s="123"/>
      <c r="N86" s="123"/>
      <c r="O86" s="123"/>
      <c r="P86" s="123"/>
    </row>
    <row r="87" spans="2:16" x14ac:dyDescent="0.25">
      <c r="C87" s="43" t="s">
        <v>167</v>
      </c>
      <c r="D87" s="141">
        <v>1</v>
      </c>
      <c r="E87" s="141">
        <v>1.66</v>
      </c>
      <c r="F87" s="141">
        <v>1</v>
      </c>
      <c r="G87" s="141">
        <v>1</v>
      </c>
      <c r="H87" s="123">
        <v>1</v>
      </c>
      <c r="I87" s="123"/>
      <c r="J87" s="123"/>
      <c r="K87" s="123"/>
      <c r="L87" s="123"/>
      <c r="M87" s="123"/>
      <c r="N87" s="123"/>
      <c r="O87" s="123"/>
      <c r="P87" s="123"/>
    </row>
    <row r="88" spans="2:16" x14ac:dyDescent="0.25">
      <c r="C88" s="43" t="s">
        <v>168</v>
      </c>
      <c r="D88" s="141">
        <v>1</v>
      </c>
      <c r="E88" s="141">
        <v>2.5</v>
      </c>
      <c r="F88" s="141">
        <v>1</v>
      </c>
      <c r="G88" s="141">
        <v>1</v>
      </c>
      <c r="H88" s="123">
        <v>1</v>
      </c>
      <c r="I88" s="123"/>
      <c r="J88" s="123"/>
      <c r="K88" s="123"/>
      <c r="L88" s="123"/>
      <c r="M88" s="123"/>
      <c r="N88" s="123"/>
      <c r="O88" s="123"/>
      <c r="P88" s="123"/>
    </row>
    <row r="89" spans="2:16" x14ac:dyDescent="0.25">
      <c r="C89" s="43" t="s">
        <v>169</v>
      </c>
      <c r="D89" s="141">
        <v>1</v>
      </c>
      <c r="E89" s="141">
        <v>14.97</v>
      </c>
      <c r="F89" s="141">
        <v>1.92</v>
      </c>
      <c r="G89" s="141">
        <v>1.92</v>
      </c>
      <c r="H89" s="123">
        <v>1</v>
      </c>
      <c r="I89" s="123"/>
      <c r="J89" s="123"/>
      <c r="K89" s="123"/>
      <c r="L89" s="123"/>
      <c r="M89" s="123"/>
      <c r="N89" s="123"/>
      <c r="O89" s="123"/>
      <c r="P89" s="123"/>
    </row>
    <row r="90" spans="2:16" x14ac:dyDescent="0.25">
      <c r="B90" s="35" t="s">
        <v>18</v>
      </c>
      <c r="C90" s="43" t="s">
        <v>166</v>
      </c>
      <c r="D90" s="140">
        <v>1</v>
      </c>
      <c r="E90" s="140">
        <v>1</v>
      </c>
      <c r="F90" s="140">
        <v>1</v>
      </c>
      <c r="G90" s="140">
        <v>1</v>
      </c>
      <c r="H90" s="123">
        <v>1</v>
      </c>
      <c r="I90" s="123"/>
      <c r="J90" s="123"/>
      <c r="K90" s="123"/>
      <c r="L90" s="123"/>
      <c r="M90" s="123"/>
      <c r="N90" s="123"/>
      <c r="O90" s="123"/>
      <c r="P90" s="123"/>
    </row>
    <row r="91" spans="2:16" x14ac:dyDescent="0.25">
      <c r="C91" s="43" t="s">
        <v>167</v>
      </c>
      <c r="D91" s="141">
        <v>1</v>
      </c>
      <c r="E91" s="141">
        <v>1.48</v>
      </c>
      <c r="F91" s="141">
        <v>1</v>
      </c>
      <c r="G91" s="141">
        <v>1</v>
      </c>
      <c r="H91" s="123">
        <v>1</v>
      </c>
      <c r="I91" s="123"/>
      <c r="J91" s="123"/>
      <c r="K91" s="123"/>
      <c r="L91" s="123"/>
      <c r="M91" s="123"/>
      <c r="N91" s="123"/>
      <c r="O91" s="123"/>
      <c r="P91" s="123"/>
    </row>
    <row r="92" spans="2:16" x14ac:dyDescent="0.25">
      <c r="C92" s="43" t="s">
        <v>168</v>
      </c>
      <c r="D92" s="141">
        <v>1</v>
      </c>
      <c r="E92" s="141">
        <v>2.84</v>
      </c>
      <c r="F92" s="141">
        <v>1</v>
      </c>
      <c r="G92" s="141">
        <v>1</v>
      </c>
      <c r="H92" s="123">
        <v>1</v>
      </c>
      <c r="I92" s="123"/>
      <c r="J92" s="123"/>
      <c r="K92" s="123"/>
      <c r="L92" s="123"/>
      <c r="M92" s="123"/>
      <c r="N92" s="123"/>
      <c r="O92" s="123"/>
      <c r="P92" s="123"/>
    </row>
    <row r="93" spans="2:16" x14ac:dyDescent="0.25">
      <c r="C93" s="43" t="s">
        <v>169</v>
      </c>
      <c r="D93" s="141">
        <v>1</v>
      </c>
      <c r="E93" s="141">
        <v>14.4</v>
      </c>
      <c r="F93" s="141">
        <v>3.69</v>
      </c>
      <c r="G93" s="141">
        <v>3.69</v>
      </c>
      <c r="H93" s="123">
        <v>1</v>
      </c>
      <c r="I93" s="123"/>
      <c r="J93" s="123"/>
      <c r="K93" s="123"/>
      <c r="L93" s="123"/>
      <c r="M93" s="123"/>
      <c r="N93" s="123"/>
      <c r="O93" s="123"/>
      <c r="P93" s="123"/>
    </row>
    <row r="94" spans="2:16" x14ac:dyDescent="0.25">
      <c r="B94" s="35" t="s">
        <v>17</v>
      </c>
      <c r="C94" s="43" t="s">
        <v>166</v>
      </c>
      <c r="D94" s="140">
        <v>1</v>
      </c>
      <c r="E94" s="140">
        <v>1</v>
      </c>
      <c r="F94" s="140">
        <v>1</v>
      </c>
      <c r="G94" s="140">
        <v>1</v>
      </c>
      <c r="H94" s="123">
        <v>1</v>
      </c>
      <c r="I94" s="123"/>
      <c r="J94" s="123"/>
      <c r="K94" s="123"/>
      <c r="L94" s="123"/>
      <c r="M94" s="123"/>
      <c r="N94" s="123"/>
      <c r="O94" s="123"/>
      <c r="P94" s="123"/>
    </row>
    <row r="95" spans="2:16" x14ac:dyDescent="0.25">
      <c r="C95" s="43" t="s">
        <v>167</v>
      </c>
      <c r="D95" s="141">
        <v>1</v>
      </c>
      <c r="E95" s="141">
        <v>1.48</v>
      </c>
      <c r="F95" s="141">
        <v>1</v>
      </c>
      <c r="G95" s="141">
        <v>1</v>
      </c>
      <c r="H95" s="123">
        <v>1</v>
      </c>
      <c r="I95" s="123"/>
      <c r="J95" s="123"/>
      <c r="K95" s="123"/>
      <c r="L95" s="123"/>
      <c r="M95" s="123"/>
      <c r="N95" s="123"/>
      <c r="O95" s="123"/>
      <c r="P95" s="123"/>
    </row>
    <row r="96" spans="2:16" x14ac:dyDescent="0.25">
      <c r="C96" s="43" t="s">
        <v>168</v>
      </c>
      <c r="D96" s="141">
        <v>1</v>
      </c>
      <c r="E96" s="141">
        <v>2.84</v>
      </c>
      <c r="F96" s="141">
        <v>1</v>
      </c>
      <c r="G96" s="141">
        <v>1</v>
      </c>
      <c r="H96" s="123">
        <v>1</v>
      </c>
      <c r="I96" s="123"/>
      <c r="J96" s="123"/>
      <c r="K96" s="123"/>
      <c r="L96" s="123"/>
      <c r="M96" s="123"/>
      <c r="N96" s="123"/>
      <c r="O96" s="123"/>
      <c r="P96" s="123"/>
    </row>
    <row r="97" spans="1:16" x14ac:dyDescent="0.25">
      <c r="C97" s="43" t="s">
        <v>169</v>
      </c>
      <c r="D97" s="141">
        <v>1</v>
      </c>
      <c r="E97" s="141">
        <v>14.4</v>
      </c>
      <c r="F97" s="141">
        <v>3.69</v>
      </c>
      <c r="G97" s="141">
        <v>3.69</v>
      </c>
      <c r="H97" s="123">
        <v>1</v>
      </c>
      <c r="I97" s="123"/>
      <c r="J97" s="123"/>
      <c r="K97" s="123"/>
      <c r="L97" s="123"/>
      <c r="M97" s="123"/>
      <c r="N97" s="123"/>
      <c r="O97" s="123"/>
      <c r="P97" s="123"/>
    </row>
    <row r="98" spans="1:16" x14ac:dyDescent="0.25">
      <c r="B98" s="35" t="s">
        <v>20</v>
      </c>
      <c r="C98" s="43" t="s">
        <v>166</v>
      </c>
      <c r="D98" s="140">
        <v>1</v>
      </c>
      <c r="E98" s="140">
        <v>1</v>
      </c>
      <c r="F98" s="140">
        <v>1</v>
      </c>
      <c r="G98" s="140">
        <v>1</v>
      </c>
      <c r="H98" s="123">
        <v>1</v>
      </c>
      <c r="I98" s="123"/>
      <c r="J98" s="123"/>
      <c r="K98" s="123"/>
      <c r="L98" s="123"/>
      <c r="M98" s="123"/>
      <c r="N98" s="123"/>
      <c r="O98" s="123"/>
      <c r="P98" s="123"/>
    </row>
    <row r="99" spans="1:16" x14ac:dyDescent="0.25">
      <c r="C99" s="43" t="s">
        <v>167</v>
      </c>
      <c r="D99" s="141">
        <v>1</v>
      </c>
      <c r="E99" s="141">
        <v>1.48</v>
      </c>
      <c r="F99" s="141">
        <v>1</v>
      </c>
      <c r="G99" s="141">
        <v>1</v>
      </c>
      <c r="H99" s="123">
        <v>1</v>
      </c>
      <c r="I99" s="123"/>
      <c r="J99" s="123"/>
      <c r="K99" s="123"/>
      <c r="L99" s="123"/>
      <c r="M99" s="123"/>
      <c r="N99" s="123"/>
      <c r="O99" s="123"/>
      <c r="P99" s="123"/>
    </row>
    <row r="100" spans="1:16" x14ac:dyDescent="0.25">
      <c r="C100" s="43" t="s">
        <v>168</v>
      </c>
      <c r="D100" s="141">
        <v>1</v>
      </c>
      <c r="E100" s="141">
        <v>2.84</v>
      </c>
      <c r="F100" s="141">
        <v>1</v>
      </c>
      <c r="G100" s="141">
        <v>1</v>
      </c>
      <c r="H100" s="123">
        <v>1</v>
      </c>
      <c r="I100" s="123"/>
      <c r="J100" s="123"/>
      <c r="K100" s="123"/>
      <c r="L100" s="123"/>
      <c r="M100" s="123"/>
      <c r="N100" s="123"/>
      <c r="O100" s="123"/>
      <c r="P100" s="123"/>
    </row>
    <row r="101" spans="1:16" x14ac:dyDescent="0.25">
      <c r="C101" s="43" t="s">
        <v>169</v>
      </c>
      <c r="D101" s="141">
        <v>1</v>
      </c>
      <c r="E101" s="141">
        <v>14.4</v>
      </c>
      <c r="F101" s="141">
        <v>3.69</v>
      </c>
      <c r="G101" s="141">
        <v>3.69</v>
      </c>
      <c r="H101" s="123">
        <v>1</v>
      </c>
      <c r="I101" s="123"/>
      <c r="J101" s="123"/>
      <c r="K101" s="123"/>
      <c r="L101" s="123"/>
      <c r="M101" s="123"/>
      <c r="N101" s="123"/>
      <c r="O101" s="123"/>
      <c r="P101" s="123"/>
    </row>
    <row r="103" spans="1:16" s="105" customFormat="1" ht="13" x14ac:dyDescent="0.3">
      <c r="A103" s="104" t="s">
        <v>248</v>
      </c>
    </row>
    <row r="104" spans="1:16" s="36" customFormat="1" ht="26" x14ac:dyDescent="0.3">
      <c r="A104" s="126" t="s">
        <v>71</v>
      </c>
      <c r="B104" s="131" t="s">
        <v>169</v>
      </c>
      <c r="C104" s="128" t="s">
        <v>247</v>
      </c>
      <c r="D104" s="108" t="s">
        <v>1</v>
      </c>
      <c r="E104" s="108" t="s">
        <v>2</v>
      </c>
      <c r="F104" s="108" t="s">
        <v>3</v>
      </c>
      <c r="G104" s="108" t="s">
        <v>4</v>
      </c>
      <c r="H104" s="129" t="s">
        <v>5</v>
      </c>
      <c r="I104" s="125"/>
      <c r="J104" s="125"/>
      <c r="K104" s="125"/>
      <c r="L104" s="125"/>
      <c r="M104" s="125"/>
      <c r="N104" s="125"/>
      <c r="O104" s="125"/>
      <c r="P104" s="125"/>
    </row>
    <row r="105" spans="1:16" ht="13" x14ac:dyDescent="0.3">
      <c r="A105" s="40"/>
      <c r="B105" s="36"/>
      <c r="C105" s="43" t="s">
        <v>166</v>
      </c>
      <c r="D105" s="140">
        <v>1</v>
      </c>
      <c r="E105" s="140">
        <v>1</v>
      </c>
      <c r="F105" s="140">
        <v>1</v>
      </c>
      <c r="G105" s="140">
        <v>1</v>
      </c>
      <c r="H105" s="123">
        <v>1</v>
      </c>
      <c r="I105" s="123"/>
      <c r="J105" s="123"/>
      <c r="K105" s="123"/>
      <c r="L105" s="123"/>
      <c r="M105" s="123"/>
      <c r="N105" s="123"/>
      <c r="O105" s="123"/>
      <c r="P105" s="123"/>
    </row>
    <row r="106" spans="1:16" x14ac:dyDescent="0.25">
      <c r="C106" s="43" t="s">
        <v>167</v>
      </c>
      <c r="D106" s="141">
        <v>1.26</v>
      </c>
      <c r="E106" s="141">
        <v>1.26</v>
      </c>
      <c r="F106" s="141">
        <v>1</v>
      </c>
      <c r="G106" s="141">
        <v>1</v>
      </c>
      <c r="H106" s="123">
        <v>1</v>
      </c>
      <c r="I106" s="123"/>
      <c r="J106" s="123"/>
      <c r="K106" s="123"/>
      <c r="L106" s="123"/>
      <c r="M106" s="123"/>
      <c r="N106" s="123"/>
      <c r="O106" s="123"/>
      <c r="P106" s="123"/>
    </row>
    <row r="107" spans="1:16" x14ac:dyDescent="0.25">
      <c r="C107" s="43" t="s">
        <v>168</v>
      </c>
      <c r="D107" s="141">
        <v>1.68</v>
      </c>
      <c r="E107" s="141">
        <v>1.68</v>
      </c>
      <c r="F107" s="141">
        <v>1</v>
      </c>
      <c r="G107" s="141">
        <v>1</v>
      </c>
      <c r="H107" s="123">
        <v>1</v>
      </c>
      <c r="I107" s="123"/>
      <c r="J107" s="123"/>
      <c r="K107" s="123"/>
      <c r="L107" s="123"/>
      <c r="M107" s="123"/>
      <c r="N107" s="123"/>
      <c r="O107" s="123"/>
      <c r="P107" s="123"/>
    </row>
    <row r="108" spans="1:16" x14ac:dyDescent="0.25">
      <c r="C108" s="43" t="s">
        <v>169</v>
      </c>
      <c r="D108" s="141">
        <v>2.65</v>
      </c>
      <c r="E108" s="141">
        <v>2.65</v>
      </c>
      <c r="F108" s="141">
        <v>2.0699999999999998</v>
      </c>
      <c r="G108" s="141">
        <v>2.0699999999999998</v>
      </c>
      <c r="H108" s="123">
        <v>1</v>
      </c>
      <c r="I108" s="123"/>
      <c r="J108" s="123"/>
      <c r="K108" s="123"/>
      <c r="L108" s="123"/>
      <c r="M108" s="123"/>
      <c r="N108" s="123"/>
      <c r="O108" s="123"/>
      <c r="P108" s="123"/>
    </row>
    <row r="111" spans="1:16" ht="13" x14ac:dyDescent="0.3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20"/>
  <sheetViews>
    <sheetView zoomScale="70" zoomScaleNormal="70" workbookViewId="0">
      <selection activeCell="D3" sqref="D3"/>
    </sheetView>
  </sheetViews>
  <sheetFormatPr defaultColWidth="12.7265625" defaultRowHeight="12.5" x14ac:dyDescent="0.25"/>
  <cols>
    <col min="1" max="1" width="25.7265625" style="35" customWidth="1"/>
    <col min="2" max="2" width="44.453125" style="35" customWidth="1"/>
    <col min="3" max="3" width="17.7265625" style="35" customWidth="1"/>
    <col min="4" max="4" width="17.54296875" style="35" customWidth="1"/>
    <col min="5" max="5" width="17.26953125" style="35" customWidth="1"/>
    <col min="6" max="6" width="15" style="35" customWidth="1"/>
    <col min="7" max="7" width="13.7265625" style="35" customWidth="1"/>
    <col min="8" max="16384" width="12.7265625" style="35"/>
  </cols>
  <sheetData>
    <row r="1" spans="1:7" s="105" customFormat="1" ht="14.25" customHeight="1" x14ac:dyDescent="0.3">
      <c r="A1" s="104" t="s">
        <v>249</v>
      </c>
    </row>
    <row r="2" spans="1:7" ht="14.25" customHeight="1" x14ac:dyDescent="0.3">
      <c r="A2" s="130" t="s">
        <v>25</v>
      </c>
      <c r="B2" s="124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8" t="s">
        <v>250</v>
      </c>
      <c r="C3" s="141" t="s">
        <v>251</v>
      </c>
      <c r="D3" s="141">
        <v>45</v>
      </c>
      <c r="E3" s="141">
        <v>361.6</v>
      </c>
      <c r="F3" s="141">
        <v>174.7</v>
      </c>
      <c r="G3" s="141">
        <v>174.7</v>
      </c>
    </row>
    <row r="4" spans="1:7" ht="14.25" customHeight="1" x14ac:dyDescent="0.3">
      <c r="A4" s="40"/>
      <c r="B4" s="122" t="s">
        <v>252</v>
      </c>
      <c r="C4" s="141">
        <v>1.0249999999999999</v>
      </c>
      <c r="D4" s="141">
        <v>1.0249999999999999</v>
      </c>
      <c r="E4" s="141">
        <v>1.0249999999999999</v>
      </c>
      <c r="F4" s="141">
        <v>1.0249999999999999</v>
      </c>
      <c r="G4" s="141">
        <v>1.0249999999999999</v>
      </c>
    </row>
    <row r="5" spans="1:7" ht="14.25" customHeight="1" x14ac:dyDescent="0.3">
      <c r="A5" s="109" t="s">
        <v>253</v>
      </c>
    </row>
    <row r="6" spans="1:7" ht="14.25" customHeight="1" x14ac:dyDescent="0.25">
      <c r="B6" s="122" t="s">
        <v>58</v>
      </c>
      <c r="C6" s="141">
        <v>1</v>
      </c>
      <c r="D6" s="141">
        <v>1</v>
      </c>
      <c r="E6" s="141">
        <v>0.89</v>
      </c>
      <c r="F6" s="141">
        <v>0.89</v>
      </c>
      <c r="G6" s="141">
        <v>1</v>
      </c>
    </row>
    <row r="7" spans="1:7" ht="14.25" customHeight="1" x14ac:dyDescent="0.25">
      <c r="B7" s="122" t="s">
        <v>136</v>
      </c>
      <c r="C7" s="141">
        <v>1</v>
      </c>
      <c r="D7" s="141">
        <v>1</v>
      </c>
      <c r="E7" s="141">
        <v>0.89</v>
      </c>
      <c r="F7" s="141">
        <v>0.89</v>
      </c>
      <c r="G7" s="141">
        <v>1</v>
      </c>
    </row>
    <row r="8" spans="1:7" ht="14.25" customHeight="1" x14ac:dyDescent="0.25">
      <c r="B8" s="122" t="s">
        <v>60</v>
      </c>
      <c r="C8" s="141">
        <v>1</v>
      </c>
      <c r="D8" s="141">
        <v>1</v>
      </c>
      <c r="E8" s="141">
        <v>1</v>
      </c>
      <c r="F8" s="141">
        <v>1</v>
      </c>
      <c r="G8" s="141">
        <v>1</v>
      </c>
    </row>
    <row r="9" spans="1:7" ht="14.25" customHeight="1" x14ac:dyDescent="0.25">
      <c r="B9" s="122"/>
      <c r="C9" s="122"/>
      <c r="D9" s="122"/>
      <c r="E9" s="122"/>
      <c r="F9" s="122"/>
      <c r="G9" s="122"/>
    </row>
    <row r="10" spans="1:7" s="105" customFormat="1" ht="14.25" customHeight="1" x14ac:dyDescent="0.3">
      <c r="A10" s="104" t="s">
        <v>254</v>
      </c>
    </row>
    <row r="11" spans="1:7" ht="14.25" customHeight="1" x14ac:dyDescent="0.3">
      <c r="A11" s="109"/>
      <c r="B11" s="118" t="s">
        <v>196</v>
      </c>
      <c r="C11" s="141">
        <v>1.5</v>
      </c>
      <c r="D11" s="141">
        <v>1.39</v>
      </c>
      <c r="E11" s="141">
        <v>1</v>
      </c>
      <c r="F11" s="141">
        <v>1</v>
      </c>
      <c r="G11" s="141">
        <v>1</v>
      </c>
    </row>
    <row r="12" spans="1:7" ht="14.25" customHeight="1" x14ac:dyDescent="0.3">
      <c r="A12" s="109"/>
      <c r="B12" s="118"/>
    </row>
    <row r="13" spans="1:7" s="105" customFormat="1" ht="14.25" customHeight="1" x14ac:dyDescent="0.3">
      <c r="A13" s="104" t="s">
        <v>255</v>
      </c>
    </row>
    <row r="14" spans="1:7" ht="14.25" customHeight="1" x14ac:dyDescent="0.3">
      <c r="A14" s="130" t="s">
        <v>240</v>
      </c>
      <c r="B14" s="122" t="s">
        <v>256</v>
      </c>
      <c r="C14" s="141">
        <v>1.0249999999999999</v>
      </c>
      <c r="D14" s="141">
        <v>1.0249999999999999</v>
      </c>
      <c r="E14" s="141">
        <v>1.0249999999999999</v>
      </c>
      <c r="F14" s="141">
        <v>1.0249999999999999</v>
      </c>
      <c r="G14" s="141">
        <v>1.0249999999999999</v>
      </c>
    </row>
    <row r="15" spans="1:7" ht="14.25" customHeight="1" x14ac:dyDescent="0.3">
      <c r="A15" s="40"/>
      <c r="B15" s="122" t="s">
        <v>257</v>
      </c>
      <c r="C15" s="141">
        <v>1.0249999999999999</v>
      </c>
      <c r="D15" s="141">
        <v>1.0249999999999999</v>
      </c>
      <c r="E15" s="141">
        <v>1.0249999999999999</v>
      </c>
      <c r="F15" s="141">
        <v>1.0249999999999999</v>
      </c>
      <c r="G15" s="141">
        <v>1.0249999999999999</v>
      </c>
    </row>
    <row r="16" spans="1:7" ht="14.25" customHeight="1" x14ac:dyDescent="0.3">
      <c r="A16" s="130" t="s">
        <v>70</v>
      </c>
      <c r="B16" s="118" t="s">
        <v>258</v>
      </c>
      <c r="C16" s="141">
        <v>1</v>
      </c>
      <c r="D16" s="141">
        <v>1</v>
      </c>
      <c r="E16" s="141">
        <v>1</v>
      </c>
      <c r="F16" s="141">
        <v>1</v>
      </c>
      <c r="G16" s="141">
        <v>1</v>
      </c>
    </row>
    <row r="17" spans="1:6" ht="14.25" customHeight="1" x14ac:dyDescent="0.25"/>
    <row r="18" spans="1:6" s="105" customFormat="1" ht="14.25" customHeight="1" x14ac:dyDescent="0.3">
      <c r="A18" s="104" t="s">
        <v>259</v>
      </c>
    </row>
    <row r="19" spans="1:6" s="109" customFormat="1" ht="14.25" customHeight="1" x14ac:dyDescent="0.3">
      <c r="C19" s="59" t="s">
        <v>49</v>
      </c>
      <c r="D19" s="59" t="s">
        <v>50</v>
      </c>
      <c r="E19" s="59" t="s">
        <v>51</v>
      </c>
      <c r="F19" s="59" t="s">
        <v>52</v>
      </c>
    </row>
    <row r="20" spans="1:6" x14ac:dyDescent="0.25">
      <c r="B20" s="118" t="s">
        <v>198</v>
      </c>
      <c r="C20" s="141">
        <v>1.52</v>
      </c>
      <c r="D20" s="141">
        <v>1</v>
      </c>
      <c r="E20" s="141">
        <v>1</v>
      </c>
      <c r="F20" s="14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F20"/>
  <sheetViews>
    <sheetView workbookViewId="0">
      <selection activeCell="E6" sqref="C6:E6"/>
    </sheetView>
  </sheetViews>
  <sheetFormatPr defaultColWidth="16.1796875" defaultRowHeight="15.75" customHeight="1" x14ac:dyDescent="0.25"/>
  <cols>
    <col min="1" max="1" width="52.26953125" style="35" customWidth="1"/>
    <col min="2" max="6" width="16.1796875" style="35"/>
    <col min="7" max="7" width="17.26953125" style="35" customWidth="1"/>
    <col min="8" max="8" width="16.1796875" style="35" customWidth="1"/>
    <col min="9" max="16384" width="16.1796875" style="35"/>
  </cols>
  <sheetData>
    <row r="1" spans="1:6" ht="15.75" customHeight="1" x14ac:dyDescent="0.3">
      <c r="A1" s="124" t="s">
        <v>69</v>
      </c>
      <c r="B1" s="40"/>
      <c r="C1" s="40" t="s">
        <v>9</v>
      </c>
      <c r="D1" s="40" t="s">
        <v>12</v>
      </c>
      <c r="E1" s="40" t="s">
        <v>11</v>
      </c>
      <c r="F1" s="124" t="s">
        <v>26</v>
      </c>
    </row>
    <row r="2" spans="1:6" ht="15.75" customHeight="1" x14ac:dyDescent="0.25">
      <c r="A2" s="95" t="s">
        <v>29</v>
      </c>
      <c r="B2" s="95" t="s">
        <v>260</v>
      </c>
      <c r="C2" s="141">
        <v>0.21</v>
      </c>
      <c r="D2" s="141">
        <v>0.21</v>
      </c>
      <c r="E2" s="141">
        <v>0</v>
      </c>
      <c r="F2" s="141">
        <v>0</v>
      </c>
    </row>
    <row r="3" spans="1:6" ht="15.75" customHeight="1" x14ac:dyDescent="0.25">
      <c r="A3" s="95"/>
      <c r="B3" s="95" t="s">
        <v>261</v>
      </c>
      <c r="C3" s="141">
        <v>1</v>
      </c>
      <c r="D3" s="141">
        <v>1</v>
      </c>
      <c r="E3" s="141">
        <v>1</v>
      </c>
      <c r="F3" s="141">
        <v>1</v>
      </c>
    </row>
    <row r="4" spans="1:6" ht="15.75" customHeight="1" x14ac:dyDescent="0.25">
      <c r="A4" s="95" t="s">
        <v>187</v>
      </c>
      <c r="B4" s="95" t="s">
        <v>260</v>
      </c>
      <c r="C4" s="141">
        <v>0</v>
      </c>
      <c r="D4" s="141">
        <v>0</v>
      </c>
      <c r="E4" s="141">
        <v>0</v>
      </c>
      <c r="F4" s="141">
        <v>0</v>
      </c>
    </row>
    <row r="5" spans="1:6" ht="15.75" customHeight="1" x14ac:dyDescent="0.25">
      <c r="A5" s="95"/>
      <c r="B5" s="95" t="s">
        <v>261</v>
      </c>
      <c r="C5" s="141">
        <v>1</v>
      </c>
      <c r="D5" s="141">
        <v>1</v>
      </c>
      <c r="E5" s="141">
        <v>1</v>
      </c>
      <c r="F5" s="141">
        <v>1</v>
      </c>
    </row>
    <row r="6" spans="1:6" ht="15.75" customHeight="1" x14ac:dyDescent="0.25">
      <c r="A6" s="95" t="s">
        <v>209</v>
      </c>
      <c r="B6" s="95" t="s">
        <v>260</v>
      </c>
      <c r="C6" s="141">
        <v>0</v>
      </c>
      <c r="D6" s="141">
        <v>0</v>
      </c>
      <c r="E6" s="141">
        <v>0</v>
      </c>
      <c r="F6" s="141">
        <v>0</v>
      </c>
    </row>
    <row r="7" spans="1:6" ht="15.75" customHeight="1" x14ac:dyDescent="0.25">
      <c r="A7" s="95"/>
      <c r="B7" s="95" t="s">
        <v>261</v>
      </c>
      <c r="C7" s="141">
        <v>1</v>
      </c>
      <c r="D7" s="141">
        <v>1</v>
      </c>
      <c r="E7" s="141">
        <v>1</v>
      </c>
      <c r="F7" s="141">
        <v>1</v>
      </c>
    </row>
    <row r="8" spans="1:6" ht="15.75" customHeight="1" x14ac:dyDescent="0.25">
      <c r="A8" s="95" t="s">
        <v>57</v>
      </c>
      <c r="B8" s="95" t="s">
        <v>260</v>
      </c>
      <c r="C8" s="141">
        <v>0.35</v>
      </c>
      <c r="D8" s="141">
        <v>0.35</v>
      </c>
      <c r="E8" s="141">
        <v>0</v>
      </c>
      <c r="F8" s="141">
        <v>0</v>
      </c>
    </row>
    <row r="9" spans="1:6" ht="15.75" customHeight="1" x14ac:dyDescent="0.25">
      <c r="A9" s="95"/>
      <c r="B9" s="95" t="s">
        <v>261</v>
      </c>
      <c r="C9" s="141">
        <v>1</v>
      </c>
      <c r="D9" s="141">
        <v>1</v>
      </c>
      <c r="E9" s="141">
        <v>0</v>
      </c>
      <c r="F9" s="141">
        <v>0</v>
      </c>
    </row>
    <row r="10" spans="1:6" ht="15.75" customHeight="1" x14ac:dyDescent="0.25">
      <c r="A10" s="95" t="s">
        <v>34</v>
      </c>
      <c r="B10" s="95" t="s">
        <v>260</v>
      </c>
      <c r="C10" s="141">
        <v>0.35</v>
      </c>
      <c r="D10" s="141">
        <v>0.35</v>
      </c>
      <c r="E10" s="141">
        <v>0</v>
      </c>
      <c r="F10" s="141">
        <v>0</v>
      </c>
    </row>
    <row r="11" spans="1:6" ht="15.75" customHeight="1" x14ac:dyDescent="0.25">
      <c r="A11" s="95"/>
      <c r="B11" s="95" t="s">
        <v>261</v>
      </c>
      <c r="C11" s="141">
        <v>1</v>
      </c>
      <c r="D11" s="141">
        <v>1</v>
      </c>
      <c r="E11" s="141">
        <v>0</v>
      </c>
      <c r="F11" s="141">
        <v>0</v>
      </c>
    </row>
    <row r="12" spans="1:6" ht="15.75" customHeight="1" x14ac:dyDescent="0.25">
      <c r="A12" s="95" t="s">
        <v>59</v>
      </c>
      <c r="B12" s="95" t="s">
        <v>260</v>
      </c>
      <c r="C12" s="141">
        <v>0.08</v>
      </c>
      <c r="D12" s="141">
        <v>0.08</v>
      </c>
      <c r="E12" s="141">
        <v>0</v>
      </c>
      <c r="F12" s="141">
        <v>0</v>
      </c>
    </row>
    <row r="13" spans="1:6" ht="15.75" customHeight="1" x14ac:dyDescent="0.25">
      <c r="A13" s="95"/>
      <c r="B13" s="95" t="s">
        <v>261</v>
      </c>
      <c r="C13" s="141">
        <v>1</v>
      </c>
      <c r="D13" s="141">
        <v>1</v>
      </c>
      <c r="E13" s="141">
        <v>1</v>
      </c>
      <c r="F13" s="141">
        <v>1</v>
      </c>
    </row>
    <row r="19" spans="1:1" ht="15.75" customHeight="1" x14ac:dyDescent="0.25">
      <c r="A19" s="95"/>
    </row>
    <row r="20" spans="1:1" ht="15.75" customHeight="1" x14ac:dyDescent="0.25">
      <c r="A20" s="95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O28"/>
  <sheetViews>
    <sheetView topLeftCell="H1" workbookViewId="0">
      <selection activeCell="E19" sqref="E19:O20"/>
    </sheetView>
  </sheetViews>
  <sheetFormatPr defaultColWidth="12.7265625" defaultRowHeight="12.5" x14ac:dyDescent="0.25"/>
  <cols>
    <col min="1" max="1" width="22.54296875" style="35" customWidth="1"/>
    <col min="2" max="2" width="58.81640625" style="35" bestFit="1" customWidth="1"/>
    <col min="3" max="15" width="15" style="35" customWidth="1"/>
    <col min="16" max="16384" width="12.7265625" style="35"/>
  </cols>
  <sheetData>
    <row r="1" spans="1:15" ht="35.25" customHeight="1" x14ac:dyDescent="0.3">
      <c r="A1" s="40"/>
      <c r="B1" s="40"/>
      <c r="C1" s="108" t="s">
        <v>1</v>
      </c>
      <c r="D1" s="108" t="s">
        <v>2</v>
      </c>
      <c r="E1" s="108" t="s">
        <v>3</v>
      </c>
      <c r="F1" s="108" t="s">
        <v>4</v>
      </c>
      <c r="G1" s="108" t="s">
        <v>5</v>
      </c>
      <c r="H1" s="108" t="s">
        <v>49</v>
      </c>
      <c r="I1" s="108" t="s">
        <v>50</v>
      </c>
      <c r="J1" s="108" t="s">
        <v>51</v>
      </c>
      <c r="K1" s="108" t="s">
        <v>52</v>
      </c>
      <c r="L1" s="108" t="s">
        <v>53</v>
      </c>
      <c r="M1" s="108" t="s">
        <v>54</v>
      </c>
      <c r="N1" s="108" t="s">
        <v>55</v>
      </c>
      <c r="O1" s="108" t="s">
        <v>56</v>
      </c>
    </row>
    <row r="2" spans="1:15" ht="13" x14ac:dyDescent="0.3">
      <c r="A2" s="40" t="s">
        <v>262</v>
      </c>
    </row>
    <row r="3" spans="1:15" x14ac:dyDescent="0.25">
      <c r="B3" s="63" t="s">
        <v>149</v>
      </c>
      <c r="C3" s="141">
        <v>0.53</v>
      </c>
      <c r="D3" s="141">
        <v>0.53</v>
      </c>
      <c r="E3" s="141">
        <v>1</v>
      </c>
      <c r="F3" s="141">
        <v>1</v>
      </c>
      <c r="G3" s="141">
        <v>1</v>
      </c>
      <c r="H3" s="141">
        <v>1</v>
      </c>
      <c r="I3" s="141">
        <v>1</v>
      </c>
      <c r="J3" s="141">
        <v>1</v>
      </c>
      <c r="K3" s="141">
        <v>1</v>
      </c>
      <c r="L3" s="141">
        <v>1</v>
      </c>
      <c r="M3" s="141">
        <v>1</v>
      </c>
      <c r="N3" s="141">
        <v>1</v>
      </c>
      <c r="O3" s="141">
        <v>1</v>
      </c>
    </row>
    <row r="4" spans="1:15" x14ac:dyDescent="0.25">
      <c r="B4" s="63" t="s">
        <v>188</v>
      </c>
      <c r="C4" s="141">
        <v>1</v>
      </c>
      <c r="D4" s="141">
        <v>1</v>
      </c>
      <c r="E4" s="141">
        <v>1</v>
      </c>
      <c r="F4" s="141">
        <v>1</v>
      </c>
      <c r="G4" s="141">
        <v>1</v>
      </c>
      <c r="H4" s="141">
        <v>0.73</v>
      </c>
      <c r="I4" s="141">
        <v>0.73</v>
      </c>
      <c r="J4" s="141">
        <v>0.73</v>
      </c>
      <c r="K4" s="141">
        <v>0.73</v>
      </c>
      <c r="L4" s="141">
        <v>1</v>
      </c>
      <c r="M4" s="141">
        <v>1</v>
      </c>
      <c r="N4" s="141">
        <v>1</v>
      </c>
      <c r="O4" s="141">
        <v>1</v>
      </c>
    </row>
    <row r="5" spans="1:15" x14ac:dyDescent="0.25">
      <c r="B5" s="63" t="s">
        <v>208</v>
      </c>
      <c r="C5" s="141">
        <v>1</v>
      </c>
      <c r="D5" s="141">
        <v>1</v>
      </c>
      <c r="E5" s="141">
        <v>1</v>
      </c>
      <c r="F5" s="141">
        <v>1</v>
      </c>
      <c r="G5" s="141">
        <v>1</v>
      </c>
      <c r="H5" s="141">
        <v>0.73</v>
      </c>
      <c r="I5" s="141">
        <v>0.73</v>
      </c>
      <c r="J5" s="141">
        <v>0.73</v>
      </c>
      <c r="K5" s="141">
        <v>0.73</v>
      </c>
      <c r="L5" s="141">
        <v>1</v>
      </c>
      <c r="M5" s="141">
        <v>1</v>
      </c>
      <c r="N5" s="141">
        <v>1</v>
      </c>
      <c r="O5" s="141">
        <v>1</v>
      </c>
    </row>
    <row r="6" spans="1:15" x14ac:dyDescent="0.25">
      <c r="B6" s="63" t="s">
        <v>189</v>
      </c>
      <c r="C6" s="141">
        <v>1</v>
      </c>
      <c r="D6" s="141">
        <v>1</v>
      </c>
      <c r="E6" s="141">
        <v>1</v>
      </c>
      <c r="F6" s="141">
        <v>1</v>
      </c>
      <c r="G6" s="141">
        <v>1</v>
      </c>
      <c r="H6" s="141">
        <v>0.73</v>
      </c>
      <c r="I6" s="141">
        <v>0.73</v>
      </c>
      <c r="J6" s="141">
        <v>0.73</v>
      </c>
      <c r="K6" s="141">
        <v>0.73</v>
      </c>
      <c r="L6" s="141">
        <v>1</v>
      </c>
      <c r="M6" s="141">
        <v>1</v>
      </c>
      <c r="N6" s="141">
        <v>1</v>
      </c>
      <c r="O6" s="141">
        <v>1</v>
      </c>
    </row>
    <row r="7" spans="1:15" x14ac:dyDescent="0.25">
      <c r="B7" s="63" t="s">
        <v>190</v>
      </c>
      <c r="C7" s="141">
        <v>1</v>
      </c>
      <c r="D7" s="141">
        <v>1</v>
      </c>
      <c r="E7" s="141">
        <v>1</v>
      </c>
      <c r="F7" s="141">
        <v>1</v>
      </c>
      <c r="G7" s="141">
        <v>1</v>
      </c>
      <c r="H7" s="141">
        <v>0.73</v>
      </c>
      <c r="I7" s="141">
        <v>0.73</v>
      </c>
      <c r="J7" s="141">
        <v>0.73</v>
      </c>
      <c r="K7" s="141">
        <v>0.73</v>
      </c>
      <c r="L7" s="141">
        <v>1</v>
      </c>
      <c r="M7" s="141">
        <v>1</v>
      </c>
      <c r="N7" s="141">
        <v>1</v>
      </c>
      <c r="O7" s="141">
        <v>1</v>
      </c>
    </row>
    <row r="8" spans="1:15" x14ac:dyDescent="0.25">
      <c r="B8" s="95" t="s">
        <v>187</v>
      </c>
      <c r="C8" s="141">
        <v>1</v>
      </c>
      <c r="D8" s="141">
        <v>1</v>
      </c>
      <c r="E8" s="141">
        <v>1</v>
      </c>
      <c r="F8" s="141">
        <v>1</v>
      </c>
      <c r="G8" s="141">
        <v>1</v>
      </c>
      <c r="H8" s="141">
        <v>1</v>
      </c>
      <c r="I8" s="141">
        <v>1</v>
      </c>
      <c r="J8" s="141">
        <v>1</v>
      </c>
      <c r="K8" s="141">
        <v>1</v>
      </c>
      <c r="L8" s="141">
        <v>0.33</v>
      </c>
      <c r="M8" s="141">
        <v>0.33</v>
      </c>
      <c r="N8" s="141">
        <v>0.33</v>
      </c>
      <c r="O8" s="141">
        <v>0.33</v>
      </c>
    </row>
    <row r="9" spans="1:15" x14ac:dyDescent="0.25">
      <c r="B9" s="95" t="s">
        <v>209</v>
      </c>
      <c r="C9" s="141">
        <v>1</v>
      </c>
      <c r="D9" s="141">
        <v>1</v>
      </c>
      <c r="E9" s="141">
        <v>1</v>
      </c>
      <c r="F9" s="141">
        <v>1</v>
      </c>
      <c r="G9" s="141">
        <v>1</v>
      </c>
      <c r="H9" s="141">
        <v>1</v>
      </c>
      <c r="I9" s="141">
        <v>1</v>
      </c>
      <c r="J9" s="141">
        <v>1</v>
      </c>
      <c r="K9" s="141">
        <v>1</v>
      </c>
      <c r="L9" s="141">
        <v>0.33</v>
      </c>
      <c r="M9" s="141">
        <v>0.33</v>
      </c>
      <c r="N9" s="141">
        <v>0.33</v>
      </c>
      <c r="O9" s="141">
        <v>0.33</v>
      </c>
    </row>
    <row r="10" spans="1:15" x14ac:dyDescent="0.25">
      <c r="B10" s="63" t="s">
        <v>57</v>
      </c>
      <c r="C10" s="141">
        <v>1</v>
      </c>
      <c r="D10" s="141">
        <v>1</v>
      </c>
      <c r="E10" s="141">
        <v>1</v>
      </c>
      <c r="F10" s="141">
        <v>1</v>
      </c>
      <c r="G10" s="141">
        <v>1</v>
      </c>
      <c r="H10" s="141">
        <v>1</v>
      </c>
      <c r="I10" s="141">
        <v>1</v>
      </c>
      <c r="J10" s="141">
        <v>1</v>
      </c>
      <c r="K10" s="141">
        <v>1</v>
      </c>
      <c r="L10" s="141">
        <v>0.83</v>
      </c>
      <c r="M10" s="141">
        <v>0.83</v>
      </c>
      <c r="N10" s="141">
        <v>0.83</v>
      </c>
      <c r="O10" s="141">
        <v>0.83</v>
      </c>
    </row>
    <row r="11" spans="1:15" x14ac:dyDescent="0.25">
      <c r="B11" s="95" t="s">
        <v>136</v>
      </c>
      <c r="C11" s="141">
        <v>1</v>
      </c>
      <c r="D11" s="141">
        <v>1</v>
      </c>
      <c r="E11" s="141">
        <v>0.69</v>
      </c>
      <c r="F11" s="141">
        <v>0.69</v>
      </c>
      <c r="G11" s="141">
        <v>1</v>
      </c>
      <c r="H11" s="141">
        <v>1</v>
      </c>
      <c r="I11" s="141">
        <v>1</v>
      </c>
      <c r="J11" s="141">
        <v>1</v>
      </c>
      <c r="K11" s="141">
        <v>1</v>
      </c>
      <c r="L11" s="141">
        <v>1</v>
      </c>
      <c r="M11" s="141">
        <v>1</v>
      </c>
      <c r="N11" s="141">
        <v>1</v>
      </c>
      <c r="O11" s="141">
        <v>1</v>
      </c>
    </row>
    <row r="12" spans="1:15" x14ac:dyDescent="0.25">
      <c r="B12" s="63" t="s">
        <v>34</v>
      </c>
      <c r="C12" s="141">
        <v>0.83</v>
      </c>
      <c r="D12" s="141">
        <v>0.83</v>
      </c>
      <c r="E12" s="141">
        <v>0.83</v>
      </c>
      <c r="F12" s="141">
        <v>0.83</v>
      </c>
      <c r="G12" s="141">
        <v>0.83</v>
      </c>
      <c r="H12" s="141">
        <v>0.83</v>
      </c>
      <c r="I12" s="141">
        <v>0.83</v>
      </c>
      <c r="J12" s="141">
        <v>0.83</v>
      </c>
      <c r="K12" s="141">
        <v>0.83</v>
      </c>
      <c r="L12" s="141">
        <v>0.83</v>
      </c>
      <c r="M12" s="141">
        <v>0.83</v>
      </c>
      <c r="N12" s="141">
        <v>0.83</v>
      </c>
      <c r="O12" s="141">
        <v>0.83</v>
      </c>
    </row>
    <row r="13" spans="1:15" ht="13.15" customHeight="1" x14ac:dyDescent="0.25">
      <c r="B13" s="63" t="s">
        <v>137</v>
      </c>
      <c r="C13" s="141">
        <v>1</v>
      </c>
      <c r="D13" s="141">
        <v>1</v>
      </c>
      <c r="E13" s="141">
        <v>0.69</v>
      </c>
      <c r="F13" s="141">
        <v>0.69</v>
      </c>
      <c r="G13" s="141">
        <v>0.69</v>
      </c>
      <c r="H13" s="141">
        <v>1</v>
      </c>
      <c r="I13" s="141">
        <v>1</v>
      </c>
      <c r="J13" s="141">
        <v>1</v>
      </c>
      <c r="K13" s="141">
        <v>1</v>
      </c>
      <c r="L13" s="141">
        <v>1</v>
      </c>
      <c r="M13" s="141">
        <v>1</v>
      </c>
      <c r="N13" s="141">
        <v>1</v>
      </c>
      <c r="O13" s="141">
        <v>1</v>
      </c>
    </row>
    <row r="14" spans="1:15" x14ac:dyDescent="0.25">
      <c r="B14" s="63" t="s">
        <v>59</v>
      </c>
      <c r="C14" s="141">
        <v>1</v>
      </c>
      <c r="D14" s="141">
        <v>1</v>
      </c>
      <c r="E14" s="141">
        <v>1</v>
      </c>
      <c r="F14" s="141">
        <v>1</v>
      </c>
      <c r="G14" s="141">
        <v>1</v>
      </c>
      <c r="H14" s="141">
        <v>1</v>
      </c>
      <c r="I14" s="141">
        <v>1</v>
      </c>
      <c r="J14" s="141">
        <v>1</v>
      </c>
      <c r="K14" s="141">
        <v>1</v>
      </c>
      <c r="L14" s="141">
        <v>0.33</v>
      </c>
      <c r="M14" s="141">
        <v>0.33</v>
      </c>
      <c r="N14" s="141">
        <v>0.33</v>
      </c>
      <c r="O14" s="141">
        <v>0.33</v>
      </c>
    </row>
    <row r="16" spans="1:15" ht="13" x14ac:dyDescent="0.3">
      <c r="A16" s="40" t="s">
        <v>263</v>
      </c>
      <c r="B16" s="63"/>
    </row>
    <row r="17" spans="2:15" x14ac:dyDescent="0.25">
      <c r="B17" s="95" t="s">
        <v>63</v>
      </c>
      <c r="C17" s="141">
        <v>1</v>
      </c>
      <c r="D17" s="141">
        <v>1</v>
      </c>
      <c r="E17" s="141">
        <v>0.97599999999999998</v>
      </c>
      <c r="F17" s="141">
        <v>0.97599999999999998</v>
      </c>
      <c r="G17" s="141">
        <v>0.97599999999999998</v>
      </c>
      <c r="H17" s="141">
        <v>0.97599999999999998</v>
      </c>
      <c r="I17" s="141">
        <v>0.97599999999999998</v>
      </c>
      <c r="J17" s="141">
        <v>0.97599999999999998</v>
      </c>
      <c r="K17" s="141">
        <v>0.97599999999999998</v>
      </c>
      <c r="L17" s="141">
        <v>0.97599999999999998</v>
      </c>
      <c r="M17" s="141">
        <v>0.97599999999999998</v>
      </c>
      <c r="N17" s="141">
        <v>0.97599999999999998</v>
      </c>
      <c r="O17" s="141">
        <v>0.97599999999999998</v>
      </c>
    </row>
    <row r="18" spans="2:15" x14ac:dyDescent="0.25">
      <c r="B18" s="95" t="s">
        <v>64</v>
      </c>
      <c r="C18" s="141">
        <v>1</v>
      </c>
      <c r="D18" s="141">
        <v>1</v>
      </c>
      <c r="E18" s="141">
        <v>0.97599999999999998</v>
      </c>
      <c r="F18" s="141">
        <v>0.97599999999999998</v>
      </c>
      <c r="G18" s="141">
        <v>0.97599999999999998</v>
      </c>
      <c r="H18" s="141">
        <v>0.97599999999999998</v>
      </c>
      <c r="I18" s="141">
        <v>0.97599999999999998</v>
      </c>
      <c r="J18" s="141">
        <v>0.97599999999999998</v>
      </c>
      <c r="K18" s="141">
        <v>0.97599999999999998</v>
      </c>
      <c r="L18" s="141">
        <v>0.97599999999999998</v>
      </c>
      <c r="M18" s="141">
        <v>0.97599999999999998</v>
      </c>
      <c r="N18" s="141">
        <v>0.97599999999999998</v>
      </c>
      <c r="O18" s="141">
        <v>0.97599999999999998</v>
      </c>
    </row>
    <row r="19" spans="2:15" x14ac:dyDescent="0.25">
      <c r="B19" s="95" t="s">
        <v>62</v>
      </c>
      <c r="C19" s="141">
        <v>1</v>
      </c>
      <c r="D19" s="141">
        <v>1</v>
      </c>
      <c r="E19" s="141">
        <v>0.97599999999999998</v>
      </c>
      <c r="F19" s="141">
        <v>0.97599999999999998</v>
      </c>
      <c r="G19" s="141">
        <v>0.97599999999999998</v>
      </c>
      <c r="H19" s="141">
        <v>0.97599999999999998</v>
      </c>
      <c r="I19" s="141">
        <v>0.97599999999999998</v>
      </c>
      <c r="J19" s="141">
        <v>0.97599999999999998</v>
      </c>
      <c r="K19" s="141">
        <v>0.97599999999999998</v>
      </c>
      <c r="L19" s="141">
        <v>0.97599999999999998</v>
      </c>
      <c r="M19" s="141">
        <v>0.97599999999999998</v>
      </c>
      <c r="N19" s="141">
        <v>0.97599999999999998</v>
      </c>
      <c r="O19" s="141">
        <v>0.97599999999999998</v>
      </c>
    </row>
    <row r="20" spans="2:15" x14ac:dyDescent="0.25">
      <c r="B20" s="95" t="s">
        <v>47</v>
      </c>
      <c r="C20" s="141">
        <v>1</v>
      </c>
      <c r="D20" s="141">
        <v>1</v>
      </c>
      <c r="E20" s="141">
        <v>0.97599999999999998</v>
      </c>
      <c r="F20" s="141">
        <v>0.97599999999999998</v>
      </c>
      <c r="G20" s="141">
        <v>0.97599999999999998</v>
      </c>
      <c r="H20" s="141">
        <v>0.97599999999999998</v>
      </c>
      <c r="I20" s="141">
        <v>0.97599999999999998</v>
      </c>
      <c r="J20" s="141">
        <v>0.97599999999999998</v>
      </c>
      <c r="K20" s="141">
        <v>0.97599999999999998</v>
      </c>
      <c r="L20" s="141">
        <v>0.97599999999999998</v>
      </c>
      <c r="M20" s="141">
        <v>0.97599999999999998</v>
      </c>
      <c r="N20" s="141">
        <v>0.97599999999999998</v>
      </c>
      <c r="O20" s="141">
        <v>0.97599999999999998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G5"/>
  <sheetViews>
    <sheetView workbookViewId="0">
      <selection activeCell="D5" sqref="D5:G5"/>
    </sheetView>
  </sheetViews>
  <sheetFormatPr defaultColWidth="12.7265625" defaultRowHeight="12.5" x14ac:dyDescent="0.25"/>
  <cols>
    <col min="1" max="1" width="21.26953125" style="35" customWidth="1"/>
    <col min="2" max="2" width="27.26953125" style="35" customWidth="1"/>
    <col min="3" max="7" width="15.54296875" style="35" customWidth="1"/>
    <col min="8" max="16384" width="12.7265625" style="35"/>
  </cols>
  <sheetData>
    <row r="1" spans="1:7" ht="13" x14ac:dyDescent="0.3">
      <c r="A1" s="40"/>
      <c r="B1" s="124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ht="13" x14ac:dyDescent="0.3">
      <c r="A2" s="40" t="s">
        <v>264</v>
      </c>
    </row>
    <row r="3" spans="1:7" x14ac:dyDescent="0.25">
      <c r="B3" s="63" t="s">
        <v>67</v>
      </c>
      <c r="C3" s="141">
        <v>1</v>
      </c>
      <c r="D3" s="141">
        <v>0.22</v>
      </c>
      <c r="E3" s="141">
        <v>0.22</v>
      </c>
      <c r="F3" s="141">
        <v>0.22</v>
      </c>
      <c r="G3" s="141">
        <v>0.22</v>
      </c>
    </row>
    <row r="4" spans="1:7" ht="13" x14ac:dyDescent="0.3">
      <c r="A4" s="40" t="s">
        <v>265</v>
      </c>
      <c r="B4" s="63"/>
      <c r="C4" s="132"/>
      <c r="D4" s="132"/>
      <c r="E4" s="132"/>
      <c r="F4" s="132"/>
      <c r="G4" s="132"/>
    </row>
    <row r="5" spans="1:7" x14ac:dyDescent="0.25">
      <c r="B5" s="95" t="s">
        <v>183</v>
      </c>
      <c r="C5" s="141">
        <v>1</v>
      </c>
      <c r="D5" s="141">
        <v>0.16</v>
      </c>
      <c r="E5" s="141">
        <v>0.16</v>
      </c>
      <c r="F5" s="141">
        <v>0.16</v>
      </c>
      <c r="G5" s="141">
        <v>0.16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I49"/>
  <sheetViews>
    <sheetView topLeftCell="C11" zoomScale="111" workbookViewId="0">
      <selection activeCell="E43" sqref="E43"/>
    </sheetView>
  </sheetViews>
  <sheetFormatPr defaultColWidth="12.7265625" defaultRowHeight="12.5" x14ac:dyDescent="0.25"/>
  <cols>
    <col min="1" max="1" width="53" style="52" customWidth="1"/>
    <col min="2" max="2" width="30.54296875" style="52" customWidth="1"/>
    <col min="3" max="3" width="24.7265625" style="52" customWidth="1"/>
    <col min="4" max="4" width="15" style="35" customWidth="1"/>
    <col min="5" max="5" width="13.7265625" style="35" customWidth="1"/>
    <col min="6" max="6" width="14.453125" style="35" customWidth="1"/>
    <col min="7" max="7" width="12.7265625" style="35"/>
    <col min="8" max="8" width="17.54296875" style="35" customWidth="1"/>
    <col min="9" max="16384" width="12.7265625" style="35"/>
  </cols>
  <sheetData>
    <row r="1" spans="1:9" ht="13" x14ac:dyDescent="0.3">
      <c r="A1" s="40" t="s">
        <v>69</v>
      </c>
      <c r="B1" s="40" t="s">
        <v>266</v>
      </c>
      <c r="C1" s="130" t="s">
        <v>267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268</v>
      </c>
      <c r="D2" s="141">
        <v>0</v>
      </c>
      <c r="E2" s="141">
        <v>0</v>
      </c>
      <c r="F2" s="141">
        <v>0.33500000000000002</v>
      </c>
      <c r="G2" s="141">
        <v>0.33500000000000002</v>
      </c>
      <c r="H2" s="141">
        <v>0.33500000000000002</v>
      </c>
    </row>
    <row r="3" spans="1:9" x14ac:dyDescent="0.25">
      <c r="C3" s="52" t="s">
        <v>269</v>
      </c>
      <c r="D3" s="141">
        <v>0</v>
      </c>
      <c r="E3" s="141">
        <v>0</v>
      </c>
      <c r="F3" s="141">
        <v>0.36</v>
      </c>
      <c r="G3" s="141">
        <v>0.36</v>
      </c>
      <c r="H3" s="141">
        <v>0.36</v>
      </c>
    </row>
    <row r="4" spans="1:9" x14ac:dyDescent="0.25">
      <c r="C4" s="52" t="s">
        <v>270</v>
      </c>
      <c r="D4" s="141">
        <v>0</v>
      </c>
      <c r="E4" s="141">
        <v>0</v>
      </c>
      <c r="F4" s="141">
        <v>0.45</v>
      </c>
      <c r="G4" s="141">
        <v>0.45</v>
      </c>
      <c r="H4" s="141">
        <v>0.45</v>
      </c>
    </row>
    <row r="5" spans="1:9" x14ac:dyDescent="0.25">
      <c r="A5" s="52" t="s">
        <v>58</v>
      </c>
      <c r="B5" s="52" t="s">
        <v>66</v>
      </c>
      <c r="C5" s="52" t="s">
        <v>268</v>
      </c>
      <c r="D5" s="141">
        <v>0</v>
      </c>
      <c r="E5" s="141">
        <v>0</v>
      </c>
      <c r="F5" s="141">
        <v>0.33500000000000002</v>
      </c>
      <c r="G5" s="141">
        <v>0.33500000000000002</v>
      </c>
      <c r="H5" s="141">
        <v>0.33500000000000002</v>
      </c>
    </row>
    <row r="6" spans="1:9" x14ac:dyDescent="0.25">
      <c r="C6" s="52" t="s">
        <v>270</v>
      </c>
      <c r="D6" s="141">
        <v>0</v>
      </c>
      <c r="E6" s="141">
        <v>0</v>
      </c>
      <c r="F6" s="141">
        <v>0.25970149253731345</v>
      </c>
      <c r="G6" s="141">
        <v>0.25970149253731345</v>
      </c>
      <c r="H6" s="141">
        <v>0</v>
      </c>
    </row>
    <row r="7" spans="1:9" x14ac:dyDescent="0.25">
      <c r="B7" s="52" t="s">
        <v>65</v>
      </c>
      <c r="C7" s="52" t="s">
        <v>268</v>
      </c>
      <c r="D7" s="141">
        <v>0</v>
      </c>
      <c r="E7" s="141">
        <v>0</v>
      </c>
      <c r="F7" s="141">
        <v>0.33500000000000002</v>
      </c>
      <c r="G7" s="141">
        <v>0.33500000000000002</v>
      </c>
      <c r="H7" s="141">
        <v>0.33500000000000002</v>
      </c>
    </row>
    <row r="8" spans="1:9" x14ac:dyDescent="0.25">
      <c r="C8" s="52" t="s">
        <v>270</v>
      </c>
      <c r="D8" s="141">
        <v>0</v>
      </c>
      <c r="E8" s="141">
        <v>0</v>
      </c>
      <c r="F8" s="141">
        <v>0.25970149253731345</v>
      </c>
      <c r="G8" s="141">
        <v>0.25970149253731345</v>
      </c>
      <c r="H8" s="141">
        <v>0</v>
      </c>
    </row>
    <row r="9" spans="1:9" x14ac:dyDescent="0.25">
      <c r="A9" s="52" t="s">
        <v>136</v>
      </c>
      <c r="B9" s="52" t="s">
        <v>66</v>
      </c>
      <c r="C9" s="52" t="s">
        <v>268</v>
      </c>
      <c r="D9" s="141">
        <v>0</v>
      </c>
      <c r="E9" s="141">
        <v>0</v>
      </c>
      <c r="F9" s="141">
        <v>0.33500000000000002</v>
      </c>
      <c r="G9" s="141">
        <v>0.33500000000000002</v>
      </c>
      <c r="H9" s="141">
        <v>0.33500000000000002</v>
      </c>
    </row>
    <row r="10" spans="1:9" x14ac:dyDescent="0.25">
      <c r="C10" s="52" t="s">
        <v>270</v>
      </c>
      <c r="D10" s="141">
        <v>0</v>
      </c>
      <c r="E10" s="141">
        <v>0</v>
      </c>
      <c r="F10" s="141">
        <v>0.25970149253731345</v>
      </c>
      <c r="G10" s="141">
        <v>0.25970149253731345</v>
      </c>
      <c r="H10" s="141">
        <v>0</v>
      </c>
    </row>
    <row r="11" spans="1:9" x14ac:dyDescent="0.25">
      <c r="B11" s="52" t="s">
        <v>65</v>
      </c>
      <c r="C11" s="52" t="s">
        <v>268</v>
      </c>
      <c r="D11" s="141">
        <v>0</v>
      </c>
      <c r="E11" s="141">
        <v>0</v>
      </c>
      <c r="F11" s="141">
        <v>0.33500000000000002</v>
      </c>
      <c r="G11" s="141">
        <v>0.33500000000000002</v>
      </c>
      <c r="H11" s="141">
        <v>0.33500000000000002</v>
      </c>
    </row>
    <row r="12" spans="1:9" x14ac:dyDescent="0.25">
      <c r="C12" s="52" t="s">
        <v>270</v>
      </c>
      <c r="D12" s="141">
        <v>0</v>
      </c>
      <c r="E12" s="141">
        <v>0</v>
      </c>
      <c r="F12" s="141">
        <v>0.25970149253731345</v>
      </c>
      <c r="G12" s="141">
        <v>0.25970149253731345</v>
      </c>
      <c r="H12" s="141">
        <v>0</v>
      </c>
    </row>
    <row r="13" spans="1:9" x14ac:dyDescent="0.25">
      <c r="A13" s="52" t="s">
        <v>61</v>
      </c>
      <c r="B13" s="52" t="s">
        <v>66</v>
      </c>
      <c r="C13" s="52" t="s">
        <v>268</v>
      </c>
      <c r="D13" s="141">
        <v>0</v>
      </c>
      <c r="E13" s="141">
        <v>0</v>
      </c>
      <c r="F13" s="141">
        <v>0.8</v>
      </c>
      <c r="G13" s="141">
        <v>0.8</v>
      </c>
      <c r="H13" s="141">
        <v>0.8</v>
      </c>
    </row>
    <row r="14" spans="1:9" x14ac:dyDescent="0.25">
      <c r="C14" s="52" t="s">
        <v>270</v>
      </c>
      <c r="D14" s="141">
        <v>0</v>
      </c>
      <c r="E14" s="141">
        <v>0</v>
      </c>
      <c r="F14" s="141">
        <v>0.85</v>
      </c>
      <c r="G14" s="141">
        <v>0.85</v>
      </c>
      <c r="H14" s="141">
        <v>0.85</v>
      </c>
      <c r="I14" s="36"/>
    </row>
    <row r="15" spans="1:9" x14ac:dyDescent="0.25">
      <c r="B15" s="52" t="s">
        <v>65</v>
      </c>
      <c r="C15" s="52" t="s">
        <v>268</v>
      </c>
      <c r="D15" s="141">
        <v>0</v>
      </c>
      <c r="E15" s="141">
        <v>0</v>
      </c>
      <c r="F15" s="141">
        <v>0.8</v>
      </c>
      <c r="G15" s="141">
        <v>0.8</v>
      </c>
      <c r="H15" s="141">
        <v>0.8</v>
      </c>
      <c r="I15" s="36"/>
    </row>
    <row r="16" spans="1:9" x14ac:dyDescent="0.25">
      <c r="C16" s="52" t="s">
        <v>270</v>
      </c>
      <c r="D16" s="141">
        <v>0</v>
      </c>
      <c r="E16" s="141">
        <v>0</v>
      </c>
      <c r="F16" s="141">
        <v>0.75</v>
      </c>
      <c r="G16" s="141">
        <v>0.75</v>
      </c>
      <c r="H16" s="141">
        <v>0.75</v>
      </c>
      <c r="I16" s="36"/>
    </row>
    <row r="17" spans="1:9" x14ac:dyDescent="0.25">
      <c r="A17" s="52" t="s">
        <v>62</v>
      </c>
      <c r="B17" s="52" t="s">
        <v>27</v>
      </c>
      <c r="C17" s="52" t="s">
        <v>268</v>
      </c>
      <c r="D17" s="141">
        <v>0.7</v>
      </c>
      <c r="E17" s="141">
        <v>0</v>
      </c>
      <c r="F17" s="141">
        <v>0</v>
      </c>
      <c r="G17" s="141">
        <v>0</v>
      </c>
      <c r="H17" s="141">
        <v>0</v>
      </c>
      <c r="I17" s="36"/>
    </row>
    <row r="18" spans="1:9" x14ac:dyDescent="0.25">
      <c r="C18" s="52" t="s">
        <v>269</v>
      </c>
      <c r="D18" s="141">
        <v>0.19</v>
      </c>
      <c r="E18" s="141">
        <v>0</v>
      </c>
      <c r="F18" s="141">
        <v>0</v>
      </c>
      <c r="G18" s="141">
        <v>0</v>
      </c>
      <c r="H18" s="141">
        <v>0</v>
      </c>
      <c r="I18" s="36"/>
    </row>
    <row r="19" spans="1:9" x14ac:dyDescent="0.25">
      <c r="A19" s="52" t="s">
        <v>63</v>
      </c>
      <c r="B19" s="52" t="s">
        <v>27</v>
      </c>
      <c r="C19" s="52" t="s">
        <v>268</v>
      </c>
      <c r="D19" s="141">
        <v>0.7</v>
      </c>
      <c r="E19" s="141">
        <v>0</v>
      </c>
      <c r="F19" s="141">
        <v>0</v>
      </c>
      <c r="G19" s="141">
        <v>0</v>
      </c>
      <c r="H19" s="141">
        <v>0</v>
      </c>
    </row>
    <row r="20" spans="1:9" x14ac:dyDescent="0.25">
      <c r="C20" s="52" t="s">
        <v>269</v>
      </c>
      <c r="D20" s="141">
        <v>0.19</v>
      </c>
      <c r="E20" s="141">
        <v>0</v>
      </c>
      <c r="F20" s="141">
        <v>0</v>
      </c>
      <c r="G20" s="141">
        <v>0</v>
      </c>
      <c r="H20" s="141">
        <v>0</v>
      </c>
    </row>
    <row r="21" spans="1:9" x14ac:dyDescent="0.25">
      <c r="A21" s="52" t="s">
        <v>64</v>
      </c>
      <c r="B21" s="52" t="s">
        <v>27</v>
      </c>
      <c r="C21" s="52" t="s">
        <v>268</v>
      </c>
      <c r="D21" s="141">
        <v>0.7</v>
      </c>
      <c r="E21" s="141">
        <v>0</v>
      </c>
      <c r="F21" s="141">
        <v>0</v>
      </c>
      <c r="G21" s="141">
        <v>0</v>
      </c>
      <c r="H21" s="141">
        <v>0</v>
      </c>
    </row>
    <row r="22" spans="1:9" x14ac:dyDescent="0.25">
      <c r="C22" s="52" t="s">
        <v>269</v>
      </c>
      <c r="D22" s="141">
        <v>0.19</v>
      </c>
      <c r="E22" s="141">
        <v>0</v>
      </c>
      <c r="F22" s="141">
        <v>0</v>
      </c>
      <c r="G22" s="141">
        <v>0</v>
      </c>
      <c r="H22" s="141">
        <v>0</v>
      </c>
    </row>
    <row r="23" spans="1:9" x14ac:dyDescent="0.25">
      <c r="A23" s="52" t="s">
        <v>79</v>
      </c>
      <c r="B23" s="52" t="s">
        <v>71</v>
      </c>
      <c r="C23" s="52" t="s">
        <v>268</v>
      </c>
      <c r="D23" s="141">
        <v>1</v>
      </c>
      <c r="E23" s="141">
        <v>1</v>
      </c>
      <c r="F23" s="141">
        <v>1</v>
      </c>
      <c r="G23" s="141">
        <v>1</v>
      </c>
      <c r="H23" s="141">
        <v>1</v>
      </c>
    </row>
    <row r="24" spans="1:9" x14ac:dyDescent="0.25">
      <c r="C24" s="52" t="s">
        <v>269</v>
      </c>
      <c r="D24" s="141">
        <v>0</v>
      </c>
      <c r="E24" s="141">
        <v>0</v>
      </c>
      <c r="F24" s="141">
        <v>0</v>
      </c>
      <c r="G24" s="141">
        <v>0</v>
      </c>
      <c r="H24" s="141">
        <v>0</v>
      </c>
    </row>
    <row r="25" spans="1:9" x14ac:dyDescent="0.25">
      <c r="C25" s="52" t="s">
        <v>270</v>
      </c>
      <c r="D25" s="141">
        <v>0</v>
      </c>
      <c r="E25" s="141">
        <v>0</v>
      </c>
      <c r="F25" s="141">
        <v>0</v>
      </c>
      <c r="G25" s="141">
        <v>0</v>
      </c>
      <c r="H25" s="141">
        <v>0</v>
      </c>
    </row>
    <row r="26" spans="1:9" x14ac:dyDescent="0.25">
      <c r="A26" s="52" t="s">
        <v>80</v>
      </c>
      <c r="B26" s="52" t="s">
        <v>71</v>
      </c>
      <c r="C26" s="52" t="s">
        <v>268</v>
      </c>
      <c r="D26" s="141">
        <v>1</v>
      </c>
      <c r="E26" s="141">
        <v>1</v>
      </c>
      <c r="F26" s="141">
        <v>1</v>
      </c>
      <c r="G26" s="141">
        <v>1</v>
      </c>
      <c r="H26" s="141">
        <v>1</v>
      </c>
    </row>
    <row r="27" spans="1:9" x14ac:dyDescent="0.25">
      <c r="C27" s="52" t="s">
        <v>269</v>
      </c>
      <c r="D27" s="141">
        <v>0</v>
      </c>
      <c r="E27" s="141">
        <v>0</v>
      </c>
      <c r="F27" s="141">
        <v>0</v>
      </c>
      <c r="G27" s="141">
        <v>0</v>
      </c>
      <c r="H27" s="141">
        <v>0</v>
      </c>
    </row>
    <row r="28" spans="1:9" x14ac:dyDescent="0.25">
      <c r="C28" s="52" t="s">
        <v>270</v>
      </c>
      <c r="D28" s="141">
        <v>0</v>
      </c>
      <c r="E28" s="141">
        <v>0</v>
      </c>
      <c r="F28" s="141">
        <v>0</v>
      </c>
      <c r="G28" s="141">
        <v>0</v>
      </c>
      <c r="H28" s="141">
        <v>0</v>
      </c>
    </row>
    <row r="29" spans="1:9" x14ac:dyDescent="0.25">
      <c r="A29" s="52" t="s">
        <v>81</v>
      </c>
      <c r="B29" s="52" t="s">
        <v>71</v>
      </c>
      <c r="C29" s="52" t="s">
        <v>268</v>
      </c>
      <c r="D29" s="141">
        <v>1</v>
      </c>
      <c r="E29" s="141">
        <v>1</v>
      </c>
      <c r="F29" s="141">
        <v>1</v>
      </c>
      <c r="G29" s="141">
        <v>1</v>
      </c>
      <c r="H29" s="141">
        <v>1</v>
      </c>
    </row>
    <row r="30" spans="1:9" x14ac:dyDescent="0.25">
      <c r="C30" s="52" t="s">
        <v>269</v>
      </c>
      <c r="D30" s="141">
        <v>0</v>
      </c>
      <c r="E30" s="141">
        <v>0</v>
      </c>
      <c r="F30" s="141">
        <v>0</v>
      </c>
      <c r="G30" s="141">
        <v>0</v>
      </c>
      <c r="H30" s="141">
        <v>0</v>
      </c>
    </row>
    <row r="31" spans="1:9" x14ac:dyDescent="0.25">
      <c r="C31" s="52" t="s">
        <v>270</v>
      </c>
      <c r="D31" s="141">
        <v>0</v>
      </c>
      <c r="E31" s="141">
        <v>0</v>
      </c>
      <c r="F31" s="141">
        <v>0</v>
      </c>
      <c r="G31" s="141">
        <v>0</v>
      </c>
      <c r="H31" s="141">
        <v>0</v>
      </c>
    </row>
    <row r="32" spans="1:9" x14ac:dyDescent="0.25">
      <c r="A32" s="52" t="s">
        <v>82</v>
      </c>
      <c r="B32" s="52" t="s">
        <v>71</v>
      </c>
      <c r="C32" s="52" t="s">
        <v>268</v>
      </c>
      <c r="D32" s="141">
        <v>1</v>
      </c>
      <c r="E32" s="141">
        <v>1</v>
      </c>
      <c r="F32" s="141">
        <v>1</v>
      </c>
      <c r="G32" s="141">
        <v>1</v>
      </c>
      <c r="H32" s="141">
        <v>1</v>
      </c>
    </row>
    <row r="33" spans="1:8" x14ac:dyDescent="0.25">
      <c r="C33" s="52" t="s">
        <v>269</v>
      </c>
      <c r="D33" s="141">
        <v>0</v>
      </c>
      <c r="E33" s="141">
        <v>0</v>
      </c>
      <c r="F33" s="141">
        <v>0</v>
      </c>
      <c r="G33" s="141">
        <v>0</v>
      </c>
      <c r="H33" s="141">
        <v>0</v>
      </c>
    </row>
    <row r="34" spans="1:8" x14ac:dyDescent="0.25">
      <c r="C34" s="52" t="s">
        <v>270</v>
      </c>
      <c r="D34" s="141">
        <v>0</v>
      </c>
      <c r="E34" s="141">
        <v>0</v>
      </c>
      <c r="F34" s="141">
        <v>0</v>
      </c>
      <c r="G34" s="141">
        <v>0</v>
      </c>
      <c r="H34" s="141">
        <v>0</v>
      </c>
    </row>
    <row r="35" spans="1:8" x14ac:dyDescent="0.25">
      <c r="A35" s="52" t="s">
        <v>83</v>
      </c>
      <c r="B35" s="52" t="s">
        <v>71</v>
      </c>
      <c r="C35" s="52" t="s">
        <v>268</v>
      </c>
      <c r="D35" s="141">
        <v>1</v>
      </c>
      <c r="E35" s="141">
        <v>1</v>
      </c>
      <c r="F35" s="141">
        <v>1</v>
      </c>
      <c r="G35" s="141">
        <v>1</v>
      </c>
      <c r="H35" s="141">
        <v>1</v>
      </c>
    </row>
    <row r="36" spans="1:8" x14ac:dyDescent="0.25">
      <c r="C36" s="52" t="s">
        <v>269</v>
      </c>
      <c r="D36" s="141">
        <v>0</v>
      </c>
      <c r="E36" s="141">
        <v>0</v>
      </c>
      <c r="F36" s="141">
        <v>0</v>
      </c>
      <c r="G36" s="141">
        <v>0</v>
      </c>
      <c r="H36" s="141">
        <v>0</v>
      </c>
    </row>
    <row r="37" spans="1:8" x14ac:dyDescent="0.25">
      <c r="C37" s="52" t="s">
        <v>270</v>
      </c>
      <c r="D37" s="141">
        <v>0</v>
      </c>
      <c r="E37" s="141">
        <v>0</v>
      </c>
      <c r="F37" s="141">
        <v>0</v>
      </c>
      <c r="G37" s="141">
        <v>0</v>
      </c>
      <c r="H37" s="141">
        <v>0</v>
      </c>
    </row>
    <row r="38" spans="1:8" x14ac:dyDescent="0.25">
      <c r="A38" s="52" t="s">
        <v>60</v>
      </c>
      <c r="B38" s="52" t="s">
        <v>71</v>
      </c>
      <c r="C38" s="52" t="s">
        <v>268</v>
      </c>
      <c r="D38" s="141">
        <v>0.3</v>
      </c>
      <c r="E38" s="141">
        <v>0.3</v>
      </c>
      <c r="F38" s="141">
        <v>0.3</v>
      </c>
      <c r="G38" s="141">
        <v>0.3</v>
      </c>
      <c r="H38" s="141">
        <v>0.3</v>
      </c>
    </row>
    <row r="39" spans="1:8" x14ac:dyDescent="0.25">
      <c r="C39" s="52" t="s">
        <v>269</v>
      </c>
      <c r="D39" s="141">
        <v>0.5</v>
      </c>
      <c r="E39" s="141">
        <v>0.5</v>
      </c>
      <c r="F39" s="141">
        <v>0.5</v>
      </c>
      <c r="G39" s="141">
        <v>0.5</v>
      </c>
      <c r="H39" s="141">
        <v>0.5</v>
      </c>
    </row>
    <row r="40" spans="1:8" x14ac:dyDescent="0.25">
      <c r="C40" s="52" t="s">
        <v>270</v>
      </c>
      <c r="D40" s="141">
        <v>0.65</v>
      </c>
      <c r="E40" s="141">
        <v>0.65</v>
      </c>
      <c r="F40" s="141">
        <v>0.65</v>
      </c>
      <c r="G40" s="141">
        <v>0.65</v>
      </c>
      <c r="H40" s="141">
        <v>0.65</v>
      </c>
    </row>
    <row r="41" spans="1:8" x14ac:dyDescent="0.25">
      <c r="B41" s="52" t="s">
        <v>16</v>
      </c>
      <c r="C41" s="52" t="s">
        <v>268</v>
      </c>
      <c r="D41" s="141">
        <v>0.3</v>
      </c>
      <c r="E41" s="141">
        <v>0.3</v>
      </c>
      <c r="F41" s="141">
        <v>0.3</v>
      </c>
      <c r="G41" s="141">
        <v>0.3</v>
      </c>
      <c r="H41" s="141">
        <v>0.3</v>
      </c>
    </row>
    <row r="42" spans="1:8" x14ac:dyDescent="0.25">
      <c r="C42" s="52" t="s">
        <v>269</v>
      </c>
      <c r="D42" s="141">
        <v>0.5</v>
      </c>
      <c r="E42" s="141">
        <v>0.5</v>
      </c>
      <c r="F42" s="141">
        <v>0.5</v>
      </c>
      <c r="G42" s="141">
        <v>0.5</v>
      </c>
      <c r="H42" s="141">
        <v>0.5</v>
      </c>
    </row>
    <row r="43" spans="1:8" x14ac:dyDescent="0.25">
      <c r="C43" s="52" t="s">
        <v>270</v>
      </c>
      <c r="D43" s="141">
        <v>0.63</v>
      </c>
      <c r="E43" s="141">
        <v>0.63</v>
      </c>
      <c r="F43" s="141">
        <v>0.63</v>
      </c>
      <c r="G43" s="141">
        <v>0.63</v>
      </c>
      <c r="H43" s="141">
        <v>0.63</v>
      </c>
    </row>
    <row r="44" spans="1:8" x14ac:dyDescent="0.25">
      <c r="A44" s="52" t="s">
        <v>84</v>
      </c>
      <c r="B44" s="52" t="s">
        <v>71</v>
      </c>
      <c r="C44" s="52" t="s">
        <v>268</v>
      </c>
      <c r="D44" s="141">
        <v>0.88</v>
      </c>
      <c r="E44" s="141">
        <v>0.88</v>
      </c>
      <c r="F44" s="141">
        <v>0.88</v>
      </c>
      <c r="G44" s="141">
        <v>0.88</v>
      </c>
      <c r="H44" s="141">
        <v>0.88</v>
      </c>
    </row>
    <row r="45" spans="1:8" x14ac:dyDescent="0.25">
      <c r="C45" s="52" t="s">
        <v>269</v>
      </c>
      <c r="D45" s="141">
        <v>0.8</v>
      </c>
      <c r="E45" s="141">
        <v>0.8</v>
      </c>
      <c r="F45" s="141">
        <v>0.8</v>
      </c>
      <c r="G45" s="141">
        <v>0.8</v>
      </c>
      <c r="H45" s="141">
        <v>0.8</v>
      </c>
    </row>
    <row r="46" spans="1:8" x14ac:dyDescent="0.25">
      <c r="A46" s="52" t="s">
        <v>85</v>
      </c>
      <c r="B46" s="52" t="s">
        <v>71</v>
      </c>
      <c r="C46" s="52" t="s">
        <v>268</v>
      </c>
      <c r="D46" s="141">
        <v>1</v>
      </c>
      <c r="E46" s="141">
        <v>1</v>
      </c>
      <c r="F46" s="141">
        <v>1</v>
      </c>
      <c r="G46" s="141">
        <v>1</v>
      </c>
      <c r="H46" s="141">
        <v>1</v>
      </c>
    </row>
    <row r="47" spans="1:8" x14ac:dyDescent="0.25">
      <c r="C47" s="52" t="s">
        <v>269</v>
      </c>
      <c r="D47" s="141">
        <v>0.76</v>
      </c>
      <c r="E47" s="141">
        <v>0.76</v>
      </c>
      <c r="F47" s="141">
        <v>0.76</v>
      </c>
      <c r="G47" s="141">
        <v>0.76</v>
      </c>
      <c r="H47" s="141">
        <v>0.76</v>
      </c>
    </row>
    <row r="48" spans="1:8" x14ac:dyDescent="0.25">
      <c r="A48" s="52" t="s">
        <v>196</v>
      </c>
      <c r="B48" s="52" t="s">
        <v>13</v>
      </c>
      <c r="C48" s="52" t="s">
        <v>268</v>
      </c>
      <c r="D48" s="141">
        <v>0.57999999999999996</v>
      </c>
      <c r="E48" s="141">
        <v>0</v>
      </c>
      <c r="F48" s="141">
        <v>0</v>
      </c>
      <c r="G48" s="141">
        <v>0</v>
      </c>
      <c r="H48" s="141">
        <v>0</v>
      </c>
    </row>
    <row r="49" spans="3:8" x14ac:dyDescent="0.25">
      <c r="C49" s="52" t="s">
        <v>269</v>
      </c>
      <c r="D49" s="141">
        <v>0.88</v>
      </c>
      <c r="E49" s="141">
        <v>0</v>
      </c>
      <c r="F49" s="141">
        <v>0</v>
      </c>
      <c r="G49" s="141">
        <v>0</v>
      </c>
      <c r="H49" s="141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>
    <tabColor theme="0" tint="-0.249977111117893"/>
  </sheetPr>
  <dimension ref="A1:H7"/>
  <sheetViews>
    <sheetView topLeftCell="C1" workbookViewId="0">
      <selection activeCell="D7" sqref="D7:G7"/>
    </sheetView>
  </sheetViews>
  <sheetFormatPr defaultColWidth="12.7265625" defaultRowHeight="12.5" x14ac:dyDescent="0.25"/>
  <cols>
    <col min="1" max="1" width="28" style="35" customWidth="1"/>
    <col min="2" max="2" width="27.453125" style="35" customWidth="1"/>
    <col min="3" max="3" width="23.7265625" style="35" customWidth="1"/>
    <col min="4" max="7" width="17.26953125" style="35" customWidth="1"/>
    <col min="8" max="16384" width="12.7265625" style="35"/>
  </cols>
  <sheetData>
    <row r="1" spans="1:8" ht="13" x14ac:dyDescent="0.3">
      <c r="A1" s="124" t="s">
        <v>69</v>
      </c>
      <c r="B1" s="124" t="s">
        <v>266</v>
      </c>
      <c r="C1" s="124"/>
      <c r="D1" s="40" t="s">
        <v>53</v>
      </c>
      <c r="E1" s="40" t="s">
        <v>54</v>
      </c>
      <c r="F1" s="40" t="s">
        <v>55</v>
      </c>
      <c r="G1" s="40" t="s">
        <v>56</v>
      </c>
      <c r="H1" s="99"/>
    </row>
    <row r="2" spans="1:8" x14ac:dyDescent="0.25">
      <c r="A2" s="43" t="s">
        <v>86</v>
      </c>
      <c r="B2" s="35" t="s">
        <v>41</v>
      </c>
      <c r="C2" s="43" t="s">
        <v>268</v>
      </c>
      <c r="D2" s="141">
        <v>1</v>
      </c>
      <c r="E2" s="141">
        <v>1</v>
      </c>
      <c r="F2" s="141">
        <v>1</v>
      </c>
      <c r="G2" s="141">
        <v>1</v>
      </c>
      <c r="H2" s="95"/>
    </row>
    <row r="3" spans="1:8" x14ac:dyDescent="0.25">
      <c r="C3" s="35" t="s">
        <v>269</v>
      </c>
      <c r="D3" s="141">
        <v>0.2</v>
      </c>
      <c r="E3" s="141">
        <v>0.2</v>
      </c>
      <c r="F3" s="141">
        <v>0.2</v>
      </c>
      <c r="G3" s="141">
        <v>0.2</v>
      </c>
      <c r="H3" s="133"/>
    </row>
    <row r="4" spans="1:8" x14ac:dyDescent="0.25">
      <c r="A4" s="43" t="s">
        <v>87</v>
      </c>
      <c r="B4" s="35" t="s">
        <v>41</v>
      </c>
      <c r="C4" s="43" t="s">
        <v>268</v>
      </c>
      <c r="D4" s="141">
        <v>1</v>
      </c>
      <c r="E4" s="141">
        <v>1</v>
      </c>
      <c r="F4" s="141">
        <v>1</v>
      </c>
      <c r="G4" s="141">
        <v>1</v>
      </c>
      <c r="H4" s="133"/>
    </row>
    <row r="5" spans="1:8" x14ac:dyDescent="0.25">
      <c r="A5" s="36"/>
      <c r="C5" s="35" t="s">
        <v>269</v>
      </c>
      <c r="D5" s="141">
        <v>0.59</v>
      </c>
      <c r="E5" s="141">
        <v>0.59</v>
      </c>
      <c r="F5" s="141">
        <v>0.59</v>
      </c>
      <c r="G5" s="141">
        <v>0.59</v>
      </c>
      <c r="H5" s="95"/>
    </row>
    <row r="6" spans="1:8" x14ac:dyDescent="0.25">
      <c r="A6" s="43" t="s">
        <v>88</v>
      </c>
      <c r="B6" s="35" t="s">
        <v>41</v>
      </c>
      <c r="C6" s="43" t="s">
        <v>268</v>
      </c>
      <c r="D6" s="141">
        <v>1</v>
      </c>
      <c r="E6" s="141">
        <v>1</v>
      </c>
      <c r="F6" s="141">
        <v>1</v>
      </c>
      <c r="G6" s="141">
        <v>1</v>
      </c>
      <c r="H6" s="95"/>
    </row>
    <row r="7" spans="1:8" x14ac:dyDescent="0.25">
      <c r="A7" s="36"/>
      <c r="C7" s="35" t="s">
        <v>269</v>
      </c>
      <c r="D7" s="141">
        <v>0.59</v>
      </c>
      <c r="E7" s="141">
        <v>0.59</v>
      </c>
      <c r="F7" s="141">
        <v>0.59</v>
      </c>
      <c r="G7" s="141">
        <v>0.59</v>
      </c>
      <c r="H7" s="133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14" sqref="C14"/>
    </sheetView>
  </sheetViews>
  <sheetFormatPr defaultColWidth="14.453125" defaultRowHeight="15.75" customHeight="1" x14ac:dyDescent="0.25"/>
  <cols>
    <col min="1" max="1" width="16.1796875" customWidth="1"/>
    <col min="2" max="2" width="31.26953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(2017) attributable to cause</v>
      </c>
      <c r="B1" s="41"/>
      <c r="C1" s="41"/>
      <c r="D1" s="41"/>
      <c r="E1" s="41"/>
      <c r="F1" s="41"/>
    </row>
    <row r="2" spans="1:8" ht="27.75" customHeight="1" x14ac:dyDescent="0.3">
      <c r="A2" t="s">
        <v>211</v>
      </c>
      <c r="B2" s="41" t="s">
        <v>212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9">
        <v>3.04236E-3</v>
      </c>
    </row>
    <row r="4" spans="1:8" ht="15.75" customHeight="1" x14ac:dyDescent="0.25">
      <c r="B4" s="24" t="s">
        <v>7</v>
      </c>
      <c r="C4" s="79">
        <v>7.7570320239712123E-2</v>
      </c>
    </row>
    <row r="5" spans="1:8" ht="15.75" customHeight="1" x14ac:dyDescent="0.25">
      <c r="B5" s="24" t="s">
        <v>8</v>
      </c>
      <c r="C5" s="79">
        <v>7.9601177662594336E-2</v>
      </c>
    </row>
    <row r="6" spans="1:8" ht="15.75" customHeight="1" x14ac:dyDescent="0.25">
      <c r="B6" s="24" t="s">
        <v>10</v>
      </c>
      <c r="C6" s="79">
        <v>0.16844987637324349</v>
      </c>
    </row>
    <row r="7" spans="1:8" ht="15.75" customHeight="1" x14ac:dyDescent="0.25">
      <c r="B7" s="24" t="s">
        <v>13</v>
      </c>
      <c r="C7" s="79">
        <v>0.33213968798482069</v>
      </c>
    </row>
    <row r="8" spans="1:8" ht="15.75" customHeight="1" x14ac:dyDescent="0.25">
      <c r="B8" s="24" t="s">
        <v>14</v>
      </c>
      <c r="C8" s="79">
        <v>1.0978929421134546E-4</v>
      </c>
    </row>
    <row r="9" spans="1:8" ht="15.75" customHeight="1" x14ac:dyDescent="0.25">
      <c r="B9" s="24" t="s">
        <v>27</v>
      </c>
      <c r="C9" s="79">
        <v>0.14810943432954576</v>
      </c>
    </row>
    <row r="10" spans="1:8" ht="15.75" customHeight="1" x14ac:dyDescent="0.25">
      <c r="B10" s="24" t="s">
        <v>15</v>
      </c>
      <c r="C10" s="79">
        <v>0.19097735411587213</v>
      </c>
    </row>
    <row r="11" spans="1:8" ht="15.75" customHeight="1" x14ac:dyDescent="0.25">
      <c r="B11" s="32" t="s">
        <v>129</v>
      </c>
      <c r="C11" s="74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3">
      <c r="A13" s="12" t="s">
        <v>31</v>
      </c>
      <c r="B13" s="41" t="s">
        <v>212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9">
        <v>1.5901147222224899E-2</v>
      </c>
      <c r="D14" s="79">
        <v>1.5901147222224899E-2</v>
      </c>
      <c r="E14" s="79">
        <v>2.2417167166012598E-2</v>
      </c>
      <c r="F14" s="79">
        <v>2.2417167166012598E-2</v>
      </c>
    </row>
    <row r="15" spans="1:8" ht="15.75" customHeight="1" x14ac:dyDescent="0.25">
      <c r="B15" s="24" t="s">
        <v>16</v>
      </c>
      <c r="C15" s="79">
        <v>0.21863712288828499</v>
      </c>
      <c r="D15" s="79">
        <v>0.21863712288828499</v>
      </c>
      <c r="E15" s="79">
        <v>0.139040899444906</v>
      </c>
      <c r="F15" s="79">
        <v>0.139040899444906</v>
      </c>
    </row>
    <row r="16" spans="1:8" ht="15.75" customHeight="1" x14ac:dyDescent="0.25">
      <c r="B16" s="24" t="s">
        <v>17</v>
      </c>
      <c r="C16" s="79">
        <v>2.95422648044769E-2</v>
      </c>
      <c r="D16" s="79">
        <v>2.95422648044769E-2</v>
      </c>
      <c r="E16" s="79">
        <v>2.3847809856518101E-2</v>
      </c>
      <c r="F16" s="79">
        <v>2.3847809856518101E-2</v>
      </c>
    </row>
    <row r="17" spans="1:8" ht="15.75" customHeight="1" x14ac:dyDescent="0.25">
      <c r="B17" s="24" t="s">
        <v>18</v>
      </c>
      <c r="C17" s="79">
        <v>9.7386615305400414E-4</v>
      </c>
      <c r="D17" s="79">
        <v>9.7386615305400414E-4</v>
      </c>
      <c r="E17" s="79">
        <v>3.7290260331878499E-3</v>
      </c>
      <c r="F17" s="79">
        <v>3.7290260331878499E-3</v>
      </c>
    </row>
    <row r="18" spans="1:8" ht="15.75" customHeight="1" x14ac:dyDescent="0.25">
      <c r="B18" s="24" t="s">
        <v>19</v>
      </c>
      <c r="C18" s="79">
        <v>0</v>
      </c>
      <c r="D18" s="79">
        <v>0</v>
      </c>
      <c r="E18" s="79">
        <v>0</v>
      </c>
      <c r="F18" s="79">
        <v>0</v>
      </c>
    </row>
    <row r="19" spans="1:8" ht="15.75" customHeight="1" x14ac:dyDescent="0.25">
      <c r="B19" s="24" t="s">
        <v>20</v>
      </c>
      <c r="C19" s="79">
        <v>8.531633932297672E-2</v>
      </c>
      <c r="D19" s="79">
        <v>8.531633932297672E-2</v>
      </c>
      <c r="E19" s="79">
        <v>0.133132233409367</v>
      </c>
      <c r="F19" s="79">
        <v>0.133132233409367</v>
      </c>
    </row>
    <row r="20" spans="1:8" ht="15.75" customHeight="1" x14ac:dyDescent="0.25">
      <c r="B20" s="24" t="s">
        <v>21</v>
      </c>
      <c r="C20" s="79">
        <v>1.84477955720623E-2</v>
      </c>
      <c r="D20" s="79">
        <v>1.84477955720623E-2</v>
      </c>
      <c r="E20" s="79">
        <v>9.673005048767172E-2</v>
      </c>
      <c r="F20" s="79">
        <v>9.673005048767172E-2</v>
      </c>
    </row>
    <row r="21" spans="1:8" ht="15.75" customHeight="1" x14ac:dyDescent="0.25">
      <c r="B21" s="24" t="s">
        <v>22</v>
      </c>
      <c r="C21" s="79">
        <v>6.5728870931024003E-2</v>
      </c>
      <c r="D21" s="79">
        <v>6.5728870931024003E-2</v>
      </c>
      <c r="E21" s="79">
        <v>0.18434371105371303</v>
      </c>
      <c r="F21" s="79">
        <v>0.18434371105371303</v>
      </c>
    </row>
    <row r="22" spans="1:8" ht="15.75" customHeight="1" x14ac:dyDescent="0.25">
      <c r="B22" s="24" t="s">
        <v>23</v>
      </c>
      <c r="C22" s="79">
        <v>0.56545259310589624</v>
      </c>
      <c r="D22" s="79">
        <v>0.56545259310589624</v>
      </c>
      <c r="E22" s="79">
        <v>0.39675910254862368</v>
      </c>
      <c r="F22" s="79">
        <v>0.39675910254862368</v>
      </c>
    </row>
    <row r="23" spans="1:8" ht="15.75" customHeight="1" x14ac:dyDescent="0.25">
      <c r="B23" s="32" t="s">
        <v>129</v>
      </c>
      <c r="C23" s="74">
        <f>SUM(C14:C22)</f>
        <v>1</v>
      </c>
      <c r="D23" s="74">
        <f>SUM(D14:D22)</f>
        <v>1</v>
      </c>
      <c r="E23" s="74">
        <f>SUM(E14:E22)</f>
        <v>1</v>
      </c>
      <c r="F23" s="74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3">
      <c r="A25" t="s">
        <v>32</v>
      </c>
      <c r="B25" s="41" t="s">
        <v>212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9">
        <v>4.7800000000000002E-2</v>
      </c>
    </row>
    <row r="27" spans="1:8" ht="15.75" customHeight="1" x14ac:dyDescent="0.25">
      <c r="B27" s="24" t="s">
        <v>39</v>
      </c>
      <c r="C27" s="79">
        <v>1.9299999999999998E-2</v>
      </c>
    </row>
    <row r="28" spans="1:8" ht="15.75" customHeight="1" x14ac:dyDescent="0.25">
      <c r="B28" s="24" t="s">
        <v>40</v>
      </c>
      <c r="C28" s="79">
        <v>0.22640000000000002</v>
      </c>
    </row>
    <row r="29" spans="1:8" ht="15.75" customHeight="1" x14ac:dyDescent="0.25">
      <c r="B29" s="24" t="s">
        <v>41</v>
      </c>
      <c r="C29" s="79">
        <v>0.13780000000000001</v>
      </c>
    </row>
    <row r="30" spans="1:8" ht="15.75" customHeight="1" x14ac:dyDescent="0.25">
      <c r="B30" s="24" t="s">
        <v>42</v>
      </c>
      <c r="C30" s="79">
        <v>0.05</v>
      </c>
    </row>
    <row r="31" spans="1:8" ht="15.75" customHeight="1" x14ac:dyDescent="0.25">
      <c r="B31" s="24" t="s">
        <v>43</v>
      </c>
      <c r="C31" s="79">
        <v>7.0099999999999996E-2</v>
      </c>
    </row>
    <row r="32" spans="1:8" ht="15.75" customHeight="1" x14ac:dyDescent="0.25">
      <c r="B32" s="24" t="s">
        <v>44</v>
      </c>
      <c r="C32" s="79">
        <v>0.15049999999999999</v>
      </c>
    </row>
    <row r="33" spans="2:3" ht="15.75" customHeight="1" x14ac:dyDescent="0.25">
      <c r="B33" s="24" t="s">
        <v>45</v>
      </c>
      <c r="C33" s="79">
        <v>0.12560000000000002</v>
      </c>
    </row>
    <row r="34" spans="2:3" ht="15.75" customHeight="1" x14ac:dyDescent="0.25">
      <c r="B34" s="24" t="s">
        <v>46</v>
      </c>
      <c r="C34" s="79">
        <v>0.17249999999999999</v>
      </c>
    </row>
    <row r="35" spans="2:3" ht="15.75" customHeight="1" x14ac:dyDescent="0.25">
      <c r="B35" s="32" t="s">
        <v>129</v>
      </c>
      <c r="C35" s="74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F14" sqref="F14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7" t="str">
        <f>"Percentage of population in each category in baseline year ("&amp;start_year&amp;")"</f>
        <v>Percentage of population in each category in baseline year (2017)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80">
        <v>0.60100000000000009</v>
      </c>
      <c r="D2" s="80">
        <v>0.60100000000000009</v>
      </c>
      <c r="E2" s="80">
        <v>0.53800000000000003</v>
      </c>
      <c r="F2" s="80">
        <v>0.32200000000000001</v>
      </c>
      <c r="G2" s="80">
        <v>0.26950909090909098</v>
      </c>
    </row>
    <row r="3" spans="1:15" ht="15.75" customHeight="1" x14ac:dyDescent="0.25">
      <c r="A3" s="5"/>
      <c r="B3" s="11" t="s">
        <v>118</v>
      </c>
      <c r="C3" s="80">
        <v>0.21800000000000003</v>
      </c>
      <c r="D3" s="80">
        <v>0.21800000000000003</v>
      </c>
      <c r="E3" s="80">
        <v>0.24500000000000002</v>
      </c>
      <c r="F3" s="80">
        <v>0.27699999999999997</v>
      </c>
      <c r="G3" s="80">
        <v>0.27949090909090918</v>
      </c>
    </row>
    <row r="4" spans="1:15" ht="15.75" customHeight="1" x14ac:dyDescent="0.25">
      <c r="A4" s="5"/>
      <c r="B4" s="11" t="s">
        <v>116</v>
      </c>
      <c r="C4" s="81">
        <v>0.10799999999999998</v>
      </c>
      <c r="D4" s="81">
        <v>0.10799999999999998</v>
      </c>
      <c r="E4" s="81">
        <v>0.13599999999999998</v>
      </c>
      <c r="F4" s="81">
        <v>0.23099999999999996</v>
      </c>
      <c r="G4" s="81">
        <v>0.2579999999999999</v>
      </c>
    </row>
    <row r="5" spans="1:15" ht="15.75" customHeight="1" x14ac:dyDescent="0.25">
      <c r="A5" s="5"/>
      <c r="B5" s="11" t="s">
        <v>119</v>
      </c>
      <c r="C5" s="81">
        <v>7.2999999999999982E-2</v>
      </c>
      <c r="D5" s="81">
        <v>7.2999999999999982E-2</v>
      </c>
      <c r="E5" s="81">
        <v>8.0999999999999975E-2</v>
      </c>
      <c r="F5" s="81">
        <v>0.16999999999999998</v>
      </c>
      <c r="G5" s="81">
        <v>0.19299999999999995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80">
        <v>0.66099999999999992</v>
      </c>
      <c r="D8" s="80">
        <v>0.66099999999999992</v>
      </c>
      <c r="E8" s="80">
        <v>0.65024390243902441</v>
      </c>
      <c r="F8" s="80">
        <v>0.63227073732718897</v>
      </c>
      <c r="G8" s="80">
        <v>0.67425905598243685</v>
      </c>
    </row>
    <row r="9" spans="1:15" ht="15.75" customHeight="1" x14ac:dyDescent="0.25">
      <c r="B9" s="7" t="s">
        <v>121</v>
      </c>
      <c r="C9" s="80">
        <v>0.192</v>
      </c>
      <c r="D9" s="80">
        <v>0.192</v>
      </c>
      <c r="E9" s="80">
        <v>0.20975609756097563</v>
      </c>
      <c r="F9" s="80">
        <v>0.23472926267281105</v>
      </c>
      <c r="G9" s="80">
        <v>0.23574094401756313</v>
      </c>
    </row>
    <row r="10" spans="1:15" ht="15.75" customHeight="1" x14ac:dyDescent="0.25">
      <c r="B10" s="7" t="s">
        <v>122</v>
      </c>
      <c r="C10" s="81">
        <v>8.900000000000001E-2</v>
      </c>
      <c r="D10" s="81">
        <v>8.900000000000001E-2</v>
      </c>
      <c r="E10" s="81">
        <v>9.6000000000000002E-2</v>
      </c>
      <c r="F10" s="81">
        <v>9.6000000000000002E-2</v>
      </c>
      <c r="G10" s="81">
        <v>6.8000000000000005E-2</v>
      </c>
    </row>
    <row r="11" spans="1:15" ht="15.75" customHeight="1" x14ac:dyDescent="0.25">
      <c r="B11" s="7" t="s">
        <v>123</v>
      </c>
      <c r="C11" s="81">
        <v>5.7999999999999996E-2</v>
      </c>
      <c r="D11" s="81">
        <v>5.7999999999999996E-2</v>
      </c>
      <c r="E11" s="81">
        <v>4.4000000000000004E-2</v>
      </c>
      <c r="F11" s="81">
        <v>3.7000000000000005E-2</v>
      </c>
      <c r="G11" s="81">
        <v>2.2000000000000002E-2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82">
        <v>0.411891336</v>
      </c>
      <c r="D14" s="82">
        <v>0.43827971236899999</v>
      </c>
      <c r="E14" s="82">
        <v>0.43827971236899999</v>
      </c>
      <c r="F14" s="82">
        <v>0.28490576191099998</v>
      </c>
      <c r="G14" s="82">
        <v>0.28490576191099998</v>
      </c>
      <c r="H14" s="83">
        <v>0.33399999999999996</v>
      </c>
      <c r="I14" s="83">
        <v>0.33399999999999996</v>
      </c>
      <c r="J14" s="83">
        <v>0.33399999999999996</v>
      </c>
      <c r="K14" s="83">
        <v>0.33399999999999996</v>
      </c>
      <c r="L14" s="83">
        <v>0.29759282431200001</v>
      </c>
      <c r="M14" s="83">
        <v>0.22933144117699999</v>
      </c>
      <c r="N14" s="83">
        <v>0.29830204962450002</v>
      </c>
      <c r="O14" s="83">
        <v>0.26063543865899996</v>
      </c>
    </row>
    <row r="15" spans="1:15" ht="15.75" customHeight="1" x14ac:dyDescent="0.25">
      <c r="B15" s="16" t="s">
        <v>68</v>
      </c>
      <c r="C15" s="80">
        <f>iron_deficiency_anaemia*C14</f>
        <v>0.24303849178302314</v>
      </c>
      <c r="D15" s="80">
        <f t="shared" ref="D15:O15" si="0">iron_deficiency_anaemia*D14</f>
        <v>0.25860908196733462</v>
      </c>
      <c r="E15" s="80">
        <f t="shared" si="0"/>
        <v>0.25860908196733462</v>
      </c>
      <c r="F15" s="80">
        <f t="shared" si="0"/>
        <v>0.16811003442699876</v>
      </c>
      <c r="G15" s="80">
        <f t="shared" si="0"/>
        <v>0.16811003442699876</v>
      </c>
      <c r="H15" s="80">
        <f t="shared" si="0"/>
        <v>0.1970783290657265</v>
      </c>
      <c r="I15" s="80">
        <f t="shared" si="0"/>
        <v>0.1970783290657265</v>
      </c>
      <c r="J15" s="80">
        <f t="shared" si="0"/>
        <v>0.1970783290657265</v>
      </c>
      <c r="K15" s="80">
        <f t="shared" si="0"/>
        <v>0.1970783290657265</v>
      </c>
      <c r="L15" s="80">
        <f t="shared" si="0"/>
        <v>0.1755960974771236</v>
      </c>
      <c r="M15" s="80">
        <f t="shared" si="0"/>
        <v>0.13531813541735963</v>
      </c>
      <c r="N15" s="80">
        <f t="shared" si="0"/>
        <v>0.17601457933196976</v>
      </c>
      <c r="O15" s="80">
        <f t="shared" si="0"/>
        <v>0.15378921181505503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E3" sqref="E3"/>
    </sheetView>
  </sheetViews>
  <sheetFormatPr defaultColWidth="8.81640625" defaultRowHeight="12.5" x14ac:dyDescent="0.25"/>
  <cols>
    <col min="1" max="1" width="28.81640625" customWidth="1"/>
    <col min="2" max="7" width="13.453125" customWidth="1"/>
  </cols>
  <sheetData>
    <row r="1" spans="1:7" ht="40.5" customHeight="1" x14ac:dyDescent="0.3">
      <c r="A1" s="27" t="str">
        <f>"Percentage of children in each category in baseline year ("&amp;start_year&amp;")"</f>
        <v>Percentage of children in each category in baseline year (2017)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81">
        <v>0.61899999999999999</v>
      </c>
      <c r="D2" s="81">
        <v>0.42299999999999999</v>
      </c>
      <c r="E2" s="81">
        <v>0</v>
      </c>
      <c r="F2" s="81">
        <v>0</v>
      </c>
      <c r="G2" s="81">
        <v>0</v>
      </c>
    </row>
    <row r="3" spans="1:7" x14ac:dyDescent="0.25">
      <c r="B3" s="43" t="s">
        <v>167</v>
      </c>
      <c r="C3" s="81">
        <v>0.159</v>
      </c>
      <c r="D3" s="81">
        <v>0.19</v>
      </c>
      <c r="E3" s="81">
        <v>0</v>
      </c>
      <c r="F3" s="81">
        <v>0</v>
      </c>
      <c r="G3" s="81">
        <v>0</v>
      </c>
    </row>
    <row r="4" spans="1:7" x14ac:dyDescent="0.25">
      <c r="B4" s="43" t="s">
        <v>168</v>
      </c>
      <c r="C4" s="81">
        <v>0.18899999999999997</v>
      </c>
      <c r="D4" s="81">
        <v>0.33600000000000002</v>
      </c>
      <c r="E4" s="81">
        <v>0.8909999999999999</v>
      </c>
      <c r="F4" s="81">
        <v>0.71700000000000008</v>
      </c>
      <c r="G4" s="81">
        <v>0</v>
      </c>
    </row>
    <row r="5" spans="1:7" x14ac:dyDescent="0.25">
      <c r="B5" s="43" t="s">
        <v>169</v>
      </c>
      <c r="C5" s="80">
        <f>1-SUM(C2:C4)</f>
        <v>3.3000000000000029E-2</v>
      </c>
      <c r="D5" s="80">
        <f>1-SUM(D2:D4)</f>
        <v>5.0999999999999934E-2</v>
      </c>
      <c r="E5" s="80">
        <f>1-SUM(E2:E4)</f>
        <v>0.1090000000000001</v>
      </c>
      <c r="F5" s="80">
        <f>1-SUM(F2:F4)</f>
        <v>0.28299999999999992</v>
      </c>
      <c r="G5" s="80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P14"/>
  <sheetViews>
    <sheetView zoomScale="110" zoomScaleNormal="110" workbookViewId="0">
      <selection activeCell="C4" sqref="C4"/>
    </sheetView>
  </sheetViews>
  <sheetFormatPr defaultColWidth="8.81640625" defaultRowHeight="12.5" x14ac:dyDescent="0.25"/>
  <cols>
    <col min="1" max="1" width="37" customWidth="1"/>
    <col min="2" max="2" width="29.453125" customWidth="1"/>
  </cols>
  <sheetData>
    <row r="1" spans="1:16" ht="13" x14ac:dyDescent="0.3">
      <c r="A1" s="4" t="s">
        <v>138</v>
      </c>
      <c r="B1" s="4" t="s">
        <v>145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 x14ac:dyDescent="0.25">
      <c r="A2" t="s">
        <v>139</v>
      </c>
      <c r="B2" s="14" t="s">
        <v>143</v>
      </c>
      <c r="C2" s="28">
        <v>0.15340999999999999</v>
      </c>
      <c r="D2" s="144">
        <v>0.15224000000000001</v>
      </c>
      <c r="E2" s="144">
        <v>0.15115000000000001</v>
      </c>
      <c r="F2" s="144">
        <v>0.15010999999999999</v>
      </c>
      <c r="G2" s="144">
        <v>0.14909</v>
      </c>
      <c r="H2" s="144">
        <v>0.14798</v>
      </c>
      <c r="I2" s="144">
        <v>0.1469</v>
      </c>
      <c r="J2" s="144">
        <v>0.14587</v>
      </c>
      <c r="K2" s="144">
        <v>0.14487</v>
      </c>
      <c r="L2" s="144">
        <v>0.1439</v>
      </c>
      <c r="M2" s="144">
        <v>0.14297000000000001</v>
      </c>
      <c r="N2" s="144">
        <v>0.14207</v>
      </c>
      <c r="O2" s="144">
        <v>0.14121</v>
      </c>
      <c r="P2" s="144">
        <v>0.14038999999999999</v>
      </c>
    </row>
    <row r="3" spans="1:16" x14ac:dyDescent="0.25">
      <c r="B3" s="14"/>
      <c r="C3" s="142"/>
      <c r="D3" s="145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</row>
    <row r="4" spans="1:16" x14ac:dyDescent="0.25">
      <c r="A4" t="s">
        <v>140</v>
      </c>
      <c r="B4" s="14" t="s">
        <v>143</v>
      </c>
      <c r="C4" s="28">
        <v>5.3380000000000004E-2</v>
      </c>
      <c r="D4" s="144">
        <v>5.2939999999999994E-2</v>
      </c>
      <c r="E4" s="144">
        <v>5.2489999999999995E-2</v>
      </c>
      <c r="F4" s="144">
        <v>5.2060000000000002E-2</v>
      </c>
      <c r="G4" s="144">
        <v>5.1639999999999998E-2</v>
      </c>
      <c r="H4" s="144">
        <v>5.1330000000000001E-2</v>
      </c>
      <c r="I4" s="144">
        <v>5.1040000000000002E-2</v>
      </c>
      <c r="J4" s="144">
        <v>5.0750000000000003E-2</v>
      </c>
      <c r="K4" s="144">
        <v>5.0479999999999997E-2</v>
      </c>
      <c r="L4" s="144">
        <v>5.0229999999999997E-2</v>
      </c>
      <c r="M4" s="144">
        <v>4.999E-2</v>
      </c>
      <c r="N4" s="144">
        <v>4.9759999999999999E-2</v>
      </c>
      <c r="O4" s="144">
        <v>4.9540000000000001E-2</v>
      </c>
      <c r="P4" s="144">
        <v>4.9340000000000002E-2</v>
      </c>
    </row>
    <row r="5" spans="1:16" x14ac:dyDescent="0.25">
      <c r="B5" s="14"/>
      <c r="C5" s="142"/>
      <c r="D5" s="145"/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5"/>
    </row>
    <row r="6" spans="1:16" x14ac:dyDescent="0.25">
      <c r="A6" t="s">
        <v>141</v>
      </c>
      <c r="B6" s="14" t="s">
        <v>143</v>
      </c>
      <c r="C6" s="28">
        <f>('Nutritional status distribution'!C15+5*'Nutritional status distribution'!D15+6*'Nutritional status distribution'!E15+12*'Nutritional status distribution'!F15+36*'Nutritional status distribution'!G15)/60</f>
        <v>0.18595033409866074</v>
      </c>
      <c r="D6" s="144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</row>
    <row r="7" spans="1:16" x14ac:dyDescent="0.25">
      <c r="B7" s="14" t="s">
        <v>32</v>
      </c>
      <c r="C7" s="28">
        <f>('Nutritional status distribution'!H15 + 2*'Nutritional status distribution'!I15+2*'Nutritional status distribution'!J15+2*'Nutritional status distribution'!K15)/7</f>
        <v>0.1970783290657265</v>
      </c>
      <c r="D7" s="144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</row>
    <row r="8" spans="1:16" x14ac:dyDescent="0.25">
      <c r="B8" s="14" t="s">
        <v>144</v>
      </c>
      <c r="C8" s="28">
        <f>('Nutritional status distribution'!L15+2*'Nutritional status distribution'!M15+2*'Nutritional status distribution'!N15+2*'Nutritional status distribution'!O15)/7</f>
        <v>0.15797713580084177</v>
      </c>
      <c r="D8" s="144"/>
      <c r="E8" s="144"/>
      <c r="F8" s="144"/>
      <c r="G8" s="144"/>
      <c r="H8" s="144"/>
      <c r="I8" s="144"/>
      <c r="J8" s="144"/>
      <c r="K8" s="144"/>
      <c r="L8" s="144"/>
      <c r="M8" s="144"/>
      <c r="N8" s="144"/>
      <c r="O8" s="144"/>
      <c r="P8" s="144"/>
    </row>
    <row r="9" spans="1:16" x14ac:dyDescent="0.25">
      <c r="C9" s="142"/>
      <c r="D9" s="145"/>
      <c r="E9" s="145"/>
      <c r="F9" s="145"/>
      <c r="G9" s="145"/>
      <c r="H9" s="145"/>
      <c r="I9" s="145"/>
      <c r="J9" s="145"/>
      <c r="K9" s="145"/>
      <c r="L9" s="145"/>
      <c r="M9" s="145"/>
      <c r="N9" s="145"/>
      <c r="O9" s="145"/>
      <c r="P9" s="145"/>
    </row>
    <row r="10" spans="1:16" x14ac:dyDescent="0.25">
      <c r="A10" t="s">
        <v>142</v>
      </c>
      <c r="B10" s="16" t="s">
        <v>147</v>
      </c>
      <c r="C10" s="28">
        <f>('Breastfeeding distribution'!C2 + 5*'Breastfeeding distribution'!D2)/6</f>
        <v>0.45566666666666666</v>
      </c>
      <c r="D10" s="144"/>
      <c r="E10" s="144"/>
      <c r="F10" s="144"/>
      <c r="G10" s="144"/>
      <c r="H10" s="144"/>
      <c r="I10" s="144"/>
      <c r="J10" s="144"/>
      <c r="K10" s="144"/>
      <c r="L10" s="144"/>
      <c r="M10" s="144"/>
      <c r="N10" s="144"/>
      <c r="O10" s="144"/>
      <c r="P10" s="144"/>
    </row>
    <row r="11" spans="1:16" x14ac:dyDescent="0.25">
      <c r="B11" s="34" t="s">
        <v>146</v>
      </c>
      <c r="C11" s="28">
        <f>('Breastfeeding distribution'!E4+2*'Breastfeeding distribution'!F4)/3</f>
        <v>0.77500000000000002</v>
      </c>
      <c r="D11" s="144"/>
      <c r="E11" s="144"/>
      <c r="F11" s="144"/>
      <c r="G11" s="144"/>
      <c r="H11" s="144"/>
      <c r="I11" s="144"/>
      <c r="J11" s="144"/>
      <c r="K11" s="144"/>
      <c r="L11" s="144"/>
      <c r="M11" s="144"/>
      <c r="N11" s="144"/>
      <c r="O11" s="144"/>
      <c r="P11" s="144"/>
    </row>
    <row r="12" spans="1:16" x14ac:dyDescent="0.25">
      <c r="C12" s="142"/>
    </row>
    <row r="13" spans="1:16" x14ac:dyDescent="0.25">
      <c r="A13" s="12" t="s">
        <v>74</v>
      </c>
      <c r="B13" s="34" t="s">
        <v>148</v>
      </c>
      <c r="C13" s="143">
        <v>17.481999999999999</v>
      </c>
      <c r="D13" s="143">
        <v>16.905999999999999</v>
      </c>
      <c r="E13" s="143">
        <v>16.370999999999999</v>
      </c>
      <c r="F13" s="143">
        <v>15.901</v>
      </c>
      <c r="G13" s="143">
        <v>15.467000000000001</v>
      </c>
      <c r="H13" s="143">
        <v>15.069000000000001</v>
      </c>
      <c r="I13" s="143">
        <v>14.691000000000001</v>
      </c>
      <c r="J13" s="143">
        <v>14.347</v>
      </c>
      <c r="K13" s="143">
        <v>14.013999999999999</v>
      </c>
      <c r="L13" s="143">
        <v>13.71</v>
      </c>
      <c r="M13" s="143">
        <v>13.426</v>
      </c>
      <c r="N13" s="143">
        <v>13.11</v>
      </c>
      <c r="O13" s="143">
        <v>12.843</v>
      </c>
      <c r="P13" s="143">
        <v>12.603999999999999</v>
      </c>
    </row>
    <row r="14" spans="1:16" x14ac:dyDescent="0.25">
      <c r="B14" s="16" t="s">
        <v>170</v>
      </c>
      <c r="C14" s="143">
        <f>maternal_mortality</f>
        <v>1</v>
      </c>
      <c r="D14" s="143"/>
      <c r="E14" s="143"/>
      <c r="F14" s="143"/>
      <c r="G14" s="143"/>
      <c r="H14" s="143"/>
      <c r="I14" s="143"/>
      <c r="J14" s="143"/>
      <c r="K14" s="143"/>
      <c r="L14" s="143"/>
      <c r="M14" s="143"/>
      <c r="N14" s="143"/>
      <c r="O14" s="143"/>
      <c r="P14" s="143"/>
    </row>
  </sheetData>
  <pageMargins left="0.7" right="0.7" top="0.75" bottom="0.75" header="0.3" footer="0.3"/>
  <pageSetup paperSize="193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3" sqref="D3"/>
    </sheetView>
  </sheetViews>
  <sheetFormatPr defaultColWidth="11.453125" defaultRowHeight="12.5" x14ac:dyDescent="0.25"/>
  <cols>
    <col min="1" max="1" width="17" style="35" customWidth="1"/>
    <col min="2" max="2" width="19.1796875" style="35" customWidth="1"/>
    <col min="3" max="3" width="13.453125" style="35" customWidth="1"/>
    <col min="4" max="16384" width="11.453125" style="35"/>
  </cols>
  <sheetData>
    <row r="1" spans="1:5" ht="13" x14ac:dyDescent="0.3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ht="13" x14ac:dyDescent="0.3">
      <c r="A2" s="49" t="s">
        <v>173</v>
      </c>
      <c r="B2" s="46" t="s">
        <v>32</v>
      </c>
      <c r="C2" s="84"/>
      <c r="D2" s="84"/>
      <c r="E2" s="61" t="str">
        <f>IF(E$7="","",E$7)</f>
        <v/>
      </c>
    </row>
    <row r="3" spans="1:5" x14ac:dyDescent="0.25">
      <c r="A3" s="47"/>
      <c r="B3" s="46" t="s">
        <v>1</v>
      </c>
      <c r="C3" s="84"/>
      <c r="D3" s="84" t="s">
        <v>194</v>
      </c>
      <c r="E3" s="61" t="str">
        <f>IF(E$7="","",E$7)</f>
        <v/>
      </c>
    </row>
    <row r="4" spans="1:5" x14ac:dyDescent="0.25">
      <c r="A4" s="47"/>
      <c r="B4" s="46" t="s">
        <v>2</v>
      </c>
      <c r="C4" s="84"/>
      <c r="D4" s="84" t="s">
        <v>194</v>
      </c>
      <c r="E4" s="61" t="str">
        <f>IF(E$7="","",E$7)</f>
        <v/>
      </c>
    </row>
    <row r="5" spans="1:5" x14ac:dyDescent="0.25">
      <c r="A5" s="47"/>
      <c r="B5" s="46" t="s">
        <v>3</v>
      </c>
      <c r="C5" s="84"/>
      <c r="D5" s="84" t="s">
        <v>194</v>
      </c>
      <c r="E5" s="61" t="str">
        <f>IF(E$7="","",E$7)</f>
        <v/>
      </c>
    </row>
    <row r="6" spans="1:5" x14ac:dyDescent="0.25">
      <c r="A6" s="47"/>
      <c r="B6" s="46" t="s">
        <v>4</v>
      </c>
      <c r="C6" s="84"/>
      <c r="D6" s="84" t="s">
        <v>194</v>
      </c>
      <c r="E6" s="61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4"/>
    </row>
    <row r="9" spans="1:5" ht="13" x14ac:dyDescent="0.3">
      <c r="A9" s="49" t="s">
        <v>199</v>
      </c>
      <c r="B9" s="46" t="s">
        <v>32</v>
      </c>
      <c r="C9" s="84"/>
      <c r="D9" s="84"/>
      <c r="E9" s="61" t="str">
        <f>IF(E$7="","",E$7)</f>
        <v/>
      </c>
    </row>
    <row r="10" spans="1:5" x14ac:dyDescent="0.25">
      <c r="A10" s="47"/>
      <c r="B10" s="46" t="s">
        <v>1</v>
      </c>
      <c r="C10" s="84"/>
      <c r="D10" s="84"/>
      <c r="E10" s="61" t="str">
        <f>IF(E$7="","",E$7)</f>
        <v/>
      </c>
    </row>
    <row r="11" spans="1:5" x14ac:dyDescent="0.25">
      <c r="A11" s="47"/>
      <c r="B11" s="46" t="s">
        <v>2</v>
      </c>
      <c r="C11" s="84"/>
      <c r="D11" s="84"/>
      <c r="E11" s="61" t="str">
        <f>IF(E$7="","",E$7)</f>
        <v/>
      </c>
    </row>
    <row r="12" spans="1:5" x14ac:dyDescent="0.25">
      <c r="A12" s="47"/>
      <c r="B12" s="46" t="s">
        <v>3</v>
      </c>
      <c r="C12" s="84"/>
      <c r="D12" s="84"/>
      <c r="E12" s="61" t="str">
        <f>IF(E$7="","",E$7)</f>
        <v/>
      </c>
    </row>
    <row r="13" spans="1:5" x14ac:dyDescent="0.25">
      <c r="A13" s="47"/>
      <c r="B13" s="46" t="s">
        <v>4</v>
      </c>
      <c r="C13" s="84"/>
      <c r="D13" s="84" t="s">
        <v>194</v>
      </c>
      <c r="E13" s="61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4"/>
    </row>
    <row r="16" spans="1:5" ht="13" x14ac:dyDescent="0.3">
      <c r="A16" s="49" t="s">
        <v>200</v>
      </c>
      <c r="B16" s="46" t="s">
        <v>32</v>
      </c>
      <c r="C16" s="84"/>
      <c r="D16" s="84"/>
      <c r="E16" s="61" t="str">
        <f>IF(E$7="","",E$7)</f>
        <v/>
      </c>
    </row>
    <row r="17" spans="1:5" x14ac:dyDescent="0.25">
      <c r="A17" s="47"/>
      <c r="B17" s="46" t="s">
        <v>1</v>
      </c>
      <c r="C17" s="84"/>
      <c r="D17" s="84"/>
      <c r="E17" s="61" t="str">
        <f>IF(E$7="","",E$7)</f>
        <v/>
      </c>
    </row>
    <row r="18" spans="1:5" x14ac:dyDescent="0.25">
      <c r="A18" s="47"/>
      <c r="B18" s="46" t="s">
        <v>2</v>
      </c>
      <c r="C18" s="84"/>
      <c r="D18" s="84"/>
      <c r="E18" s="61" t="str">
        <f>IF(E$7="","",E$7)</f>
        <v/>
      </c>
    </row>
    <row r="19" spans="1:5" x14ac:dyDescent="0.25">
      <c r="A19" s="47"/>
      <c r="B19" s="46" t="s">
        <v>3</v>
      </c>
      <c r="C19" s="84"/>
      <c r="D19" s="84"/>
      <c r="E19" s="61" t="str">
        <f>IF(E$7="","",E$7)</f>
        <v/>
      </c>
    </row>
    <row r="20" spans="1:5" x14ac:dyDescent="0.25">
      <c r="A20" s="47"/>
      <c r="B20" s="46" t="s">
        <v>4</v>
      </c>
      <c r="C20" s="84"/>
      <c r="D20" s="84" t="s">
        <v>194</v>
      </c>
      <c r="E20" s="61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4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1640625" defaultRowHeight="12.5" x14ac:dyDescent="0.25"/>
  <cols>
    <col min="1" max="1" width="15.7265625" customWidth="1"/>
    <col min="2" max="2" width="15.453125" customWidth="1"/>
    <col min="3" max="3" width="17.453125" customWidth="1"/>
    <col min="4" max="4" width="12.81640625" customWidth="1"/>
  </cols>
  <sheetData>
    <row r="1" spans="1:4" ht="13" x14ac:dyDescent="0.3">
      <c r="A1" s="64" t="s">
        <v>164</v>
      </c>
      <c r="B1" s="51" t="s">
        <v>181</v>
      </c>
      <c r="C1" s="65" t="s">
        <v>182</v>
      </c>
      <c r="D1" s="65" t="s">
        <v>186</v>
      </c>
    </row>
    <row r="2" spans="1:4" ht="13" x14ac:dyDescent="0.3">
      <c r="A2" s="65" t="s">
        <v>69</v>
      </c>
      <c r="B2" s="46" t="s">
        <v>67</v>
      </c>
      <c r="C2" s="46" t="s">
        <v>183</v>
      </c>
      <c r="D2" s="84"/>
    </row>
    <row r="3" spans="1:4" ht="13" x14ac:dyDescent="0.3">
      <c r="A3" s="65" t="s">
        <v>185</v>
      </c>
      <c r="B3" s="46" t="s">
        <v>176</v>
      </c>
      <c r="C3" s="46" t="s">
        <v>184</v>
      </c>
      <c r="D3" s="84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O39"/>
  <sheetViews>
    <sheetView zoomScale="85" zoomScaleNormal="118" workbookViewId="0">
      <selection activeCell="E29" sqref="E29"/>
    </sheetView>
  </sheetViews>
  <sheetFormatPr defaultColWidth="14.453125" defaultRowHeight="15.75" customHeight="1" x14ac:dyDescent="0.25"/>
  <cols>
    <col min="1" max="1" width="20" bestFit="1" customWidth="1"/>
    <col min="2" max="2" width="45.81640625" customWidth="1"/>
    <col min="3" max="3" width="8.453125" bestFit="1" customWidth="1"/>
    <col min="4" max="4" width="10" bestFit="1" customWidth="1"/>
    <col min="5" max="5" width="10.81640625" bestFit="1" customWidth="1"/>
    <col min="6" max="7" width="11.81640625" bestFit="1" customWidth="1"/>
    <col min="8" max="11" width="13.81640625" bestFit="1" customWidth="1"/>
    <col min="12" max="15" width="15.1796875" bestFit="1" customWidth="1"/>
  </cols>
  <sheetData>
    <row r="1" spans="1:15" ht="15.75" customHeight="1" x14ac:dyDescent="0.3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3">
      <c r="A2" s="4" t="s">
        <v>31</v>
      </c>
      <c r="B2" s="11" t="s">
        <v>61</v>
      </c>
      <c r="C2" s="92">
        <v>0</v>
      </c>
      <c r="D2" s="92">
        <f>food_insecure</f>
        <v>0.41200000000000003</v>
      </c>
      <c r="E2" s="92">
        <f>food_insecure</f>
        <v>0.41200000000000003</v>
      </c>
      <c r="F2" s="92">
        <f>food_insecure</f>
        <v>0.41200000000000003</v>
      </c>
      <c r="G2" s="92">
        <f>food_insecure</f>
        <v>0.41200000000000003</v>
      </c>
      <c r="H2" s="93">
        <v>0</v>
      </c>
      <c r="I2" s="93">
        <v>0</v>
      </c>
      <c r="J2" s="93">
        <v>0</v>
      </c>
      <c r="K2" s="93">
        <v>0</v>
      </c>
      <c r="L2" s="93">
        <v>0</v>
      </c>
      <c r="M2" s="93">
        <v>0</v>
      </c>
      <c r="N2" s="93">
        <v>0</v>
      </c>
      <c r="O2" s="93">
        <v>0</v>
      </c>
    </row>
    <row r="3" spans="1:15" ht="15.75" customHeight="1" x14ac:dyDescent="0.25">
      <c r="B3" s="7" t="s">
        <v>149</v>
      </c>
      <c r="C3" s="92">
        <v>1</v>
      </c>
      <c r="D3" s="92">
        <v>0</v>
      </c>
      <c r="E3" s="92">
        <v>0</v>
      </c>
      <c r="F3" s="92">
        <v>0</v>
      </c>
      <c r="G3" s="92">
        <v>0</v>
      </c>
      <c r="H3" s="93">
        <v>0</v>
      </c>
      <c r="I3" s="93">
        <v>0</v>
      </c>
      <c r="J3" s="93">
        <v>0</v>
      </c>
      <c r="K3" s="93">
        <v>0</v>
      </c>
      <c r="L3" s="93">
        <v>0</v>
      </c>
      <c r="M3" s="93">
        <v>0</v>
      </c>
      <c r="N3" s="93">
        <v>0</v>
      </c>
      <c r="O3" s="93">
        <v>0</v>
      </c>
    </row>
    <row r="4" spans="1:15" ht="15.75" customHeight="1" x14ac:dyDescent="0.25">
      <c r="B4" s="7" t="s">
        <v>196</v>
      </c>
      <c r="C4" s="92">
        <v>1</v>
      </c>
      <c r="D4" s="92">
        <v>0</v>
      </c>
      <c r="E4" s="92">
        <v>0</v>
      </c>
      <c r="F4" s="92">
        <v>0</v>
      </c>
      <c r="G4" s="92">
        <v>0</v>
      </c>
      <c r="H4" s="93">
        <v>0</v>
      </c>
      <c r="I4" s="93">
        <v>0</v>
      </c>
      <c r="J4" s="93">
        <v>0</v>
      </c>
      <c r="K4" s="93">
        <v>0</v>
      </c>
      <c r="L4" s="93">
        <v>0</v>
      </c>
      <c r="M4" s="93">
        <v>0</v>
      </c>
      <c r="N4" s="93">
        <v>0</v>
      </c>
      <c r="O4" s="93">
        <v>0</v>
      </c>
    </row>
    <row r="5" spans="1:15" ht="15.75" customHeight="1" x14ac:dyDescent="0.25">
      <c r="B5" s="11" t="s">
        <v>136</v>
      </c>
      <c r="C5" s="92">
        <v>0</v>
      </c>
      <c r="D5" s="92">
        <v>0</v>
      </c>
      <c r="E5" s="92">
        <f>food_insecure</f>
        <v>0.41200000000000003</v>
      </c>
      <c r="F5" s="92">
        <f>food_insecure</f>
        <v>0.41200000000000003</v>
      </c>
      <c r="G5" s="92">
        <v>0</v>
      </c>
      <c r="H5" s="93">
        <v>0</v>
      </c>
      <c r="I5" s="93">
        <v>0</v>
      </c>
      <c r="J5" s="93">
        <v>0</v>
      </c>
      <c r="K5" s="93">
        <v>0</v>
      </c>
      <c r="L5" s="93">
        <v>0</v>
      </c>
      <c r="M5" s="93">
        <v>0</v>
      </c>
      <c r="N5" s="93">
        <v>0</v>
      </c>
      <c r="O5" s="93">
        <v>0</v>
      </c>
    </row>
    <row r="6" spans="1:15" ht="15.75" customHeight="1" x14ac:dyDescent="0.25">
      <c r="B6" s="11" t="s">
        <v>137</v>
      </c>
      <c r="C6" s="92">
        <v>0</v>
      </c>
      <c r="D6" s="92">
        <v>0</v>
      </c>
      <c r="E6" s="92">
        <f>1</f>
        <v>1</v>
      </c>
      <c r="F6" s="92">
        <f>1</f>
        <v>1</v>
      </c>
      <c r="G6" s="92">
        <f>1</f>
        <v>1</v>
      </c>
      <c r="H6" s="93">
        <v>0</v>
      </c>
      <c r="I6" s="93">
        <v>0</v>
      </c>
      <c r="J6" s="93">
        <v>0</v>
      </c>
      <c r="K6" s="93">
        <v>0</v>
      </c>
      <c r="L6" s="93">
        <v>0</v>
      </c>
      <c r="M6" s="93">
        <v>0</v>
      </c>
      <c r="N6" s="93">
        <v>0</v>
      </c>
      <c r="O6" s="93">
        <v>0</v>
      </c>
    </row>
    <row r="7" spans="1:15" ht="15.75" customHeight="1" x14ac:dyDescent="0.25">
      <c r="B7" s="33" t="s">
        <v>84</v>
      </c>
      <c r="C7" s="92">
        <f>diarrhoea_1mo/26</f>
        <v>0.12493651072932692</v>
      </c>
      <c r="D7" s="92">
        <f>diarrhoea_1_5mo/26</f>
        <v>0.11262237466</v>
      </c>
      <c r="E7" s="92">
        <f>diarrhoea_6_11mo/26</f>
        <v>0.11262237466</v>
      </c>
      <c r="F7" s="92">
        <f>diarrhoea_12_23mo/26</f>
        <v>9.66053615553846E-2</v>
      </c>
      <c r="G7" s="92">
        <f>diarrhoea_24_59mo/26</f>
        <v>9.66053615553846E-2</v>
      </c>
      <c r="H7" s="93">
        <v>0</v>
      </c>
      <c r="I7" s="93">
        <v>0</v>
      </c>
      <c r="J7" s="93">
        <v>0</v>
      </c>
      <c r="K7" s="93">
        <v>0</v>
      </c>
      <c r="L7" s="93">
        <v>0</v>
      </c>
      <c r="M7" s="93">
        <v>0</v>
      </c>
      <c r="N7" s="93">
        <v>0</v>
      </c>
      <c r="O7" s="93">
        <v>0</v>
      </c>
    </row>
    <row r="8" spans="1:15" ht="15.75" customHeight="1" x14ac:dyDescent="0.25">
      <c r="B8" s="11" t="s">
        <v>58</v>
      </c>
      <c r="C8" s="92">
        <v>0</v>
      </c>
      <c r="D8" s="92">
        <v>0</v>
      </c>
      <c r="E8" s="92">
        <f>food_insecure</f>
        <v>0.41200000000000003</v>
      </c>
      <c r="F8" s="92">
        <f>food_insecure</f>
        <v>0.41200000000000003</v>
      </c>
      <c r="G8" s="92">
        <v>0</v>
      </c>
      <c r="H8" s="93">
        <v>0</v>
      </c>
      <c r="I8" s="93">
        <v>0</v>
      </c>
      <c r="J8" s="93">
        <v>0</v>
      </c>
      <c r="K8" s="93">
        <v>0</v>
      </c>
      <c r="L8" s="93">
        <v>0</v>
      </c>
      <c r="M8" s="93">
        <v>0</v>
      </c>
      <c r="N8" s="93">
        <v>0</v>
      </c>
      <c r="O8" s="93">
        <v>0</v>
      </c>
    </row>
    <row r="9" spans="1:15" ht="15.75" customHeight="1" x14ac:dyDescent="0.25">
      <c r="B9" s="11" t="s">
        <v>67</v>
      </c>
      <c r="C9" s="92">
        <v>0</v>
      </c>
      <c r="D9" s="92">
        <f>IF(ISBLANK(comm_deliv), frac_children_health_facility,1)</f>
        <v>0.72</v>
      </c>
      <c r="E9" s="92">
        <f>IF(ISBLANK(comm_deliv), frac_children_health_facility,1)</f>
        <v>0.72</v>
      </c>
      <c r="F9" s="92">
        <f>IF(ISBLANK(comm_deliv), frac_children_health_facility,1)</f>
        <v>0.72</v>
      </c>
      <c r="G9" s="92">
        <f>IF(ISBLANK(comm_deliv), frac_children_health_facility,1)</f>
        <v>0.72</v>
      </c>
      <c r="H9" s="93">
        <v>0</v>
      </c>
      <c r="I9" s="93">
        <v>0</v>
      </c>
      <c r="J9" s="93">
        <v>0</v>
      </c>
      <c r="K9" s="93">
        <v>0</v>
      </c>
      <c r="L9" s="93">
        <v>0</v>
      </c>
      <c r="M9" s="93">
        <v>0</v>
      </c>
      <c r="N9" s="93">
        <v>0</v>
      </c>
      <c r="O9" s="93">
        <v>0</v>
      </c>
    </row>
    <row r="10" spans="1:15" ht="15" customHeight="1" x14ac:dyDescent="0.25">
      <c r="B10" s="11" t="s">
        <v>28</v>
      </c>
      <c r="C10" s="92">
        <v>0</v>
      </c>
      <c r="D10" s="92">
        <v>0</v>
      </c>
      <c r="E10" s="92">
        <v>1</v>
      </c>
      <c r="F10" s="92">
        <v>1</v>
      </c>
      <c r="G10" s="92">
        <v>1</v>
      </c>
      <c r="H10" s="93">
        <v>0</v>
      </c>
      <c r="I10" s="93">
        <v>0</v>
      </c>
      <c r="J10" s="93">
        <v>0</v>
      </c>
      <c r="K10" s="93">
        <v>0</v>
      </c>
      <c r="L10" s="93">
        <v>0</v>
      </c>
      <c r="M10" s="93">
        <v>0</v>
      </c>
      <c r="N10" s="93">
        <v>0</v>
      </c>
      <c r="O10" s="93">
        <v>0</v>
      </c>
    </row>
    <row r="11" spans="1:15" ht="15.75" customHeight="1" x14ac:dyDescent="0.25">
      <c r="B11" s="33" t="s">
        <v>85</v>
      </c>
      <c r="C11" s="92">
        <f>diarrhoea_1mo/26</f>
        <v>0.12493651072932692</v>
      </c>
      <c r="D11" s="92">
        <f>diarrhoea_1_5mo/26</f>
        <v>0.11262237466</v>
      </c>
      <c r="E11" s="92">
        <f>diarrhoea_6_11mo/26</f>
        <v>0.11262237466</v>
      </c>
      <c r="F11" s="92">
        <f>diarrhoea_12_23mo/26</f>
        <v>9.66053615553846E-2</v>
      </c>
      <c r="G11" s="92">
        <f>diarrhoea_24_59mo/26</f>
        <v>9.66053615553846E-2</v>
      </c>
      <c r="H11" s="93">
        <v>0</v>
      </c>
      <c r="I11" s="93">
        <v>0</v>
      </c>
      <c r="J11" s="93">
        <v>0</v>
      </c>
      <c r="K11" s="93">
        <v>0</v>
      </c>
      <c r="L11" s="93">
        <v>0</v>
      </c>
      <c r="M11" s="93">
        <v>0</v>
      </c>
      <c r="N11" s="93">
        <v>0</v>
      </c>
      <c r="O11" s="93">
        <v>0</v>
      </c>
    </row>
    <row r="12" spans="1:15" ht="15.75" customHeight="1" x14ac:dyDescent="0.25">
      <c r="B12" s="11" t="s">
        <v>60</v>
      </c>
      <c r="C12" s="92">
        <v>0</v>
      </c>
      <c r="D12" s="92">
        <v>0</v>
      </c>
      <c r="E12" s="92">
        <v>1</v>
      </c>
      <c r="F12" s="92">
        <v>1</v>
      </c>
      <c r="G12" s="92">
        <v>1</v>
      </c>
      <c r="H12" s="93">
        <v>0</v>
      </c>
      <c r="I12" s="93">
        <v>0</v>
      </c>
      <c r="J12" s="93">
        <v>0</v>
      </c>
      <c r="K12" s="93">
        <v>0</v>
      </c>
      <c r="L12" s="93">
        <v>0</v>
      </c>
      <c r="M12" s="93">
        <v>0</v>
      </c>
      <c r="N12" s="93">
        <v>0</v>
      </c>
      <c r="O12" s="93">
        <v>0</v>
      </c>
    </row>
    <row r="13" spans="1:15" ht="15.75" customHeight="1" x14ac:dyDescent="0.25">
      <c r="B13" s="33"/>
    </row>
    <row r="14" spans="1:15" ht="15.75" customHeight="1" x14ac:dyDescent="0.3">
      <c r="A14" s="4" t="s">
        <v>32</v>
      </c>
      <c r="B14" s="33" t="s">
        <v>29</v>
      </c>
      <c r="C14" s="93">
        <v>0</v>
      </c>
      <c r="D14" s="93">
        <v>0</v>
      </c>
      <c r="E14" s="93">
        <v>0</v>
      </c>
      <c r="F14" s="93">
        <v>0</v>
      </c>
      <c r="G14" s="93">
        <v>0</v>
      </c>
      <c r="H14" s="92">
        <f>food_insecure</f>
        <v>0.41200000000000003</v>
      </c>
      <c r="I14" s="92">
        <f>food_insecure</f>
        <v>0.41200000000000003</v>
      </c>
      <c r="J14" s="92">
        <f>food_insecure</f>
        <v>0.41200000000000003</v>
      </c>
      <c r="K14" s="92">
        <f>food_insecure</f>
        <v>0.41200000000000003</v>
      </c>
      <c r="L14" s="93">
        <v>0</v>
      </c>
      <c r="M14" s="93">
        <v>0</v>
      </c>
      <c r="N14" s="93">
        <v>0</v>
      </c>
      <c r="O14" s="93">
        <v>0</v>
      </c>
    </row>
    <row r="15" spans="1:15" ht="15.75" customHeight="1" x14ac:dyDescent="0.3">
      <c r="A15" s="4"/>
      <c r="B15" s="11" t="s">
        <v>86</v>
      </c>
      <c r="C15" s="93">
        <v>0</v>
      </c>
      <c r="D15" s="93">
        <v>0</v>
      </c>
      <c r="E15" s="93">
        <v>0</v>
      </c>
      <c r="F15" s="93">
        <v>0</v>
      </c>
      <c r="G15" s="93">
        <v>0</v>
      </c>
      <c r="H15" s="92">
        <v>1</v>
      </c>
      <c r="I15" s="92">
        <v>1</v>
      </c>
      <c r="J15" s="92">
        <v>1</v>
      </c>
      <c r="K15" s="92">
        <v>1</v>
      </c>
      <c r="L15" s="93">
        <v>0</v>
      </c>
      <c r="M15" s="93">
        <v>0</v>
      </c>
      <c r="N15" s="93">
        <v>0</v>
      </c>
      <c r="O15" s="93">
        <v>0</v>
      </c>
    </row>
    <row r="16" spans="1:15" ht="15.75" customHeight="1" x14ac:dyDescent="0.3">
      <c r="A16" s="4"/>
      <c r="B16" s="11" t="s">
        <v>187</v>
      </c>
      <c r="C16" s="93">
        <v>0</v>
      </c>
      <c r="D16" s="93">
        <v>0</v>
      </c>
      <c r="E16" s="93">
        <v>0</v>
      </c>
      <c r="F16" s="93">
        <v>0</v>
      </c>
      <c r="G16" s="93">
        <v>0</v>
      </c>
      <c r="H16" s="92">
        <f xml:space="preserve"> 1</f>
        <v>1</v>
      </c>
      <c r="I16" s="92">
        <f xml:space="preserve"> 1</f>
        <v>1</v>
      </c>
      <c r="J16" s="92">
        <f xml:space="preserve"> 1</f>
        <v>1</v>
      </c>
      <c r="K16" s="92">
        <f xml:space="preserve"> 1</f>
        <v>1</v>
      </c>
      <c r="L16" s="93">
        <v>0</v>
      </c>
      <c r="M16" s="93">
        <v>0</v>
      </c>
      <c r="N16" s="93">
        <v>0</v>
      </c>
      <c r="O16" s="93">
        <v>0</v>
      </c>
    </row>
    <row r="17" spans="1:15" ht="15.75" customHeight="1" x14ac:dyDescent="0.3">
      <c r="A17" s="4"/>
      <c r="B17" s="11" t="s">
        <v>209</v>
      </c>
      <c r="C17" s="93">
        <v>0</v>
      </c>
      <c r="D17" s="93">
        <v>0</v>
      </c>
      <c r="E17" s="93">
        <v>0</v>
      </c>
      <c r="F17" s="93">
        <v>0</v>
      </c>
      <c r="G17" s="93">
        <v>0</v>
      </c>
      <c r="H17" s="92">
        <f>frac_PW_health_facility</f>
        <v>0.73</v>
      </c>
      <c r="I17" s="92">
        <f>frac_PW_health_facility</f>
        <v>0.73</v>
      </c>
      <c r="J17" s="92">
        <f>frac_PW_health_facility</f>
        <v>0.73</v>
      </c>
      <c r="K17" s="92">
        <f>frac_PW_health_facility</f>
        <v>0.73</v>
      </c>
      <c r="L17" s="93">
        <v>0</v>
      </c>
      <c r="M17" s="93">
        <v>0</v>
      </c>
      <c r="N17" s="93">
        <v>0</v>
      </c>
      <c r="O17" s="93">
        <v>0</v>
      </c>
    </row>
    <row r="18" spans="1:15" ht="15" customHeight="1" x14ac:dyDescent="0.25">
      <c r="B18" s="33" t="s">
        <v>57</v>
      </c>
      <c r="C18" s="93">
        <v>0</v>
      </c>
      <c r="D18" s="93">
        <v>0</v>
      </c>
      <c r="E18" s="93">
        <v>0</v>
      </c>
      <c r="F18" s="93">
        <v>0</v>
      </c>
      <c r="G18" s="93">
        <v>0</v>
      </c>
      <c r="H18" s="92">
        <f>frac_malaria_risk</f>
        <v>5.0000000000000001E-3</v>
      </c>
      <c r="I18" s="92">
        <f>frac_malaria_risk</f>
        <v>5.0000000000000001E-3</v>
      </c>
      <c r="J18" s="92">
        <f>frac_malaria_risk</f>
        <v>5.0000000000000001E-3</v>
      </c>
      <c r="K18" s="92">
        <f>frac_malaria_risk</f>
        <v>5.0000000000000001E-3</v>
      </c>
      <c r="L18" s="93">
        <v>0</v>
      </c>
      <c r="M18" s="93">
        <v>0</v>
      </c>
      <c r="N18" s="93">
        <v>0</v>
      </c>
      <c r="O18" s="93">
        <v>0</v>
      </c>
    </row>
    <row r="19" spans="1:15" ht="15.75" customHeight="1" x14ac:dyDescent="0.25">
      <c r="B19" s="11" t="s">
        <v>88</v>
      </c>
      <c r="C19" s="93">
        <v>0</v>
      </c>
      <c r="D19" s="93">
        <v>0</v>
      </c>
      <c r="E19" s="93">
        <v>0</v>
      </c>
      <c r="F19" s="93">
        <v>0</v>
      </c>
      <c r="G19" s="93">
        <v>0</v>
      </c>
      <c r="H19" s="92">
        <v>1</v>
      </c>
      <c r="I19" s="92">
        <v>1</v>
      </c>
      <c r="J19" s="92">
        <v>1</v>
      </c>
      <c r="K19" s="92">
        <v>1</v>
      </c>
      <c r="L19" s="93">
        <v>0</v>
      </c>
      <c r="M19" s="93">
        <v>0</v>
      </c>
      <c r="N19" s="93">
        <v>0</v>
      </c>
      <c r="O19" s="93">
        <v>0</v>
      </c>
    </row>
    <row r="20" spans="1:15" ht="15.75" customHeight="1" x14ac:dyDescent="0.25">
      <c r="B20" s="11" t="s">
        <v>87</v>
      </c>
      <c r="C20" s="93">
        <v>0</v>
      </c>
      <c r="D20" s="93">
        <v>0</v>
      </c>
      <c r="E20" s="93">
        <v>0</v>
      </c>
      <c r="F20" s="93">
        <v>0</v>
      </c>
      <c r="G20" s="93">
        <v>0</v>
      </c>
      <c r="H20" s="92">
        <v>1</v>
      </c>
      <c r="I20" s="92">
        <v>1</v>
      </c>
      <c r="J20" s="92">
        <v>1</v>
      </c>
      <c r="K20" s="92">
        <v>1</v>
      </c>
      <c r="L20" s="93">
        <v>0</v>
      </c>
      <c r="M20" s="93">
        <v>0</v>
      </c>
      <c r="N20" s="93">
        <v>0</v>
      </c>
      <c r="O20" s="93">
        <v>0</v>
      </c>
    </row>
    <row r="21" spans="1:15" ht="15.75" customHeight="1" x14ac:dyDescent="0.25">
      <c r="B21" s="33" t="s">
        <v>59</v>
      </c>
      <c r="C21" s="93">
        <v>0</v>
      </c>
      <c r="D21" s="93">
        <v>0</v>
      </c>
      <c r="E21" s="93">
        <v>0</v>
      </c>
      <c r="F21" s="93">
        <v>0</v>
      </c>
      <c r="G21" s="93">
        <v>0</v>
      </c>
      <c r="H21" s="92">
        <f>1</f>
        <v>1</v>
      </c>
      <c r="I21" s="92">
        <f>1</f>
        <v>1</v>
      </c>
      <c r="J21" s="92">
        <f>1</f>
        <v>1</v>
      </c>
      <c r="K21" s="92">
        <f>1</f>
        <v>1</v>
      </c>
      <c r="L21" s="93">
        <v>0</v>
      </c>
      <c r="M21" s="93">
        <v>0</v>
      </c>
      <c r="N21" s="93">
        <v>0</v>
      </c>
      <c r="O21" s="93">
        <v>0</v>
      </c>
    </row>
    <row r="22" spans="1:15" ht="15.75" customHeight="1" x14ac:dyDescent="0.25">
      <c r="B22" s="33"/>
    </row>
    <row r="23" spans="1:15" ht="15.75" customHeight="1" x14ac:dyDescent="0.3">
      <c r="A23" s="62" t="s">
        <v>37</v>
      </c>
      <c r="B23" s="63" t="s">
        <v>198</v>
      </c>
      <c r="C23" s="93">
        <v>0</v>
      </c>
      <c r="D23" s="93">
        <v>0</v>
      </c>
      <c r="E23" s="93">
        <v>0</v>
      </c>
      <c r="F23" s="93">
        <v>0</v>
      </c>
      <c r="G23" s="93">
        <v>0</v>
      </c>
      <c r="H23" s="93">
        <v>0</v>
      </c>
      <c r="I23" s="93">
        <v>0</v>
      </c>
      <c r="J23" s="93">
        <v>0</v>
      </c>
      <c r="K23" s="93">
        <v>0</v>
      </c>
      <c r="L23" s="92">
        <f>famplan_unmet_need</f>
        <v>0.10299999999999999</v>
      </c>
      <c r="M23" s="92">
        <f>famplan_unmet_need</f>
        <v>0.10299999999999999</v>
      </c>
      <c r="N23" s="92">
        <f>famplan_unmet_need</f>
        <v>0.10299999999999999</v>
      </c>
      <c r="O23" s="92">
        <f>famplan_unmet_need</f>
        <v>0.10299999999999999</v>
      </c>
    </row>
    <row r="24" spans="1:15" ht="15.75" customHeight="1" x14ac:dyDescent="0.25">
      <c r="B24" s="63" t="s">
        <v>188</v>
      </c>
      <c r="C24" s="93">
        <v>0</v>
      </c>
      <c r="D24" s="93">
        <v>0</v>
      </c>
      <c r="E24" s="93">
        <v>0</v>
      </c>
      <c r="F24" s="93">
        <v>0</v>
      </c>
      <c r="G24" s="93">
        <v>0</v>
      </c>
      <c r="H24" s="93">
        <v>0</v>
      </c>
      <c r="I24" s="93">
        <v>0</v>
      </c>
      <c r="J24" s="93">
        <v>0</v>
      </c>
      <c r="K24" s="93">
        <v>0</v>
      </c>
      <c r="L24" s="92">
        <f>(1-food_insecure)*(0.49)*(1-school_attendance) + food_insecure*(0.7)*(1-school_attendance)</f>
        <v>0.107182568294592</v>
      </c>
      <c r="M24" s="92">
        <f>(1-food_insecure)*(0.49)+food_insecure*(0.7)</f>
        <v>0.57651999999999992</v>
      </c>
      <c r="N24" s="92">
        <f>(1-food_insecure)*(0.49)+food_insecure*(0.7)</f>
        <v>0.57651999999999992</v>
      </c>
      <c r="O24" s="92">
        <f>(1-food_insecure)*(0.49)+food_insecure*(0.7)</f>
        <v>0.57651999999999992</v>
      </c>
    </row>
    <row r="25" spans="1:15" ht="15.75" customHeight="1" x14ac:dyDescent="0.25">
      <c r="B25" s="63" t="s">
        <v>208</v>
      </c>
      <c r="C25" s="93">
        <v>0</v>
      </c>
      <c r="D25" s="93">
        <v>0</v>
      </c>
      <c r="E25" s="93">
        <v>0</v>
      </c>
      <c r="F25" s="93">
        <v>0</v>
      </c>
      <c r="G25" s="93">
        <v>0</v>
      </c>
      <c r="H25" s="93">
        <v>0</v>
      </c>
      <c r="I25" s="93">
        <v>0</v>
      </c>
      <c r="J25" s="93">
        <v>0</v>
      </c>
      <c r="K25" s="93">
        <v>0</v>
      </c>
      <c r="L25" s="92">
        <f>(1-food_insecure)*(0.21)*(1-school_attendance) + food_insecure*(0.3)*(1-school_attendance)</f>
        <v>4.5935386411967996E-2</v>
      </c>
      <c r="M25" s="92">
        <f>(1-food_insecure)*(0.21)+food_insecure*(0.3)</f>
        <v>0.24707999999999999</v>
      </c>
      <c r="N25" s="92">
        <f>(1-food_insecure)*(0.21)+food_insecure*(0.3)</f>
        <v>0.24707999999999999</v>
      </c>
      <c r="O25" s="92">
        <f>(1-food_insecure)*(0.21)+food_insecure*(0.3)</f>
        <v>0.24707999999999999</v>
      </c>
    </row>
    <row r="26" spans="1:15" ht="15.75" customHeight="1" x14ac:dyDescent="0.25">
      <c r="B26" s="63" t="s">
        <v>189</v>
      </c>
      <c r="C26" s="93">
        <v>0</v>
      </c>
      <c r="D26" s="93">
        <v>0</v>
      </c>
      <c r="E26" s="93">
        <v>0</v>
      </c>
      <c r="F26" s="93">
        <v>0</v>
      </c>
      <c r="G26" s="93">
        <v>0</v>
      </c>
      <c r="H26" s="93">
        <v>0</v>
      </c>
      <c r="I26" s="93">
        <v>0</v>
      </c>
      <c r="J26" s="93">
        <v>0</v>
      </c>
      <c r="K26" s="93">
        <v>0</v>
      </c>
      <c r="L26" s="92">
        <f>(1-food_insecure)*(0.3)*(1-school_attendance)</f>
        <v>3.279505489344E-2</v>
      </c>
      <c r="M26" s="92">
        <f>(1-food_insecure)*(0.3)</f>
        <v>0.17639999999999997</v>
      </c>
      <c r="N26" s="92">
        <f>(1-food_insecure)*(0.3)</f>
        <v>0.17639999999999997</v>
      </c>
      <c r="O26" s="92">
        <f>(1-food_insecure)*(0.3)</f>
        <v>0.17639999999999997</v>
      </c>
    </row>
    <row r="27" spans="1:15" ht="15.75" customHeight="1" x14ac:dyDescent="0.25">
      <c r="B27" s="63" t="s">
        <v>190</v>
      </c>
      <c r="C27" s="93">
        <v>0</v>
      </c>
      <c r="D27" s="93">
        <v>0</v>
      </c>
      <c r="E27" s="93">
        <v>0</v>
      </c>
      <c r="F27" s="93">
        <v>0</v>
      </c>
      <c r="G27" s="93">
        <v>0</v>
      </c>
      <c r="H27" s="93">
        <v>0</v>
      </c>
      <c r="I27" s="93">
        <v>0</v>
      </c>
      <c r="J27" s="93">
        <v>0</v>
      </c>
      <c r="K27" s="93">
        <v>0</v>
      </c>
      <c r="L27" s="92">
        <f>(1-food_insecure)*1*school_attendance + food_insecure*1*school_attendance</f>
        <v>0.81408699039999999</v>
      </c>
      <c r="M27" s="92">
        <v>0</v>
      </c>
      <c r="N27" s="92">
        <v>0</v>
      </c>
      <c r="O27" s="92">
        <v>0</v>
      </c>
    </row>
    <row r="28" spans="1:15" ht="15.75" customHeight="1" x14ac:dyDescent="0.25">
      <c r="B28" s="11"/>
      <c r="C28" s="2"/>
      <c r="D28" s="2"/>
      <c r="E28" s="10"/>
      <c r="F28" s="10"/>
      <c r="G28" s="10"/>
      <c r="H28" s="10"/>
      <c r="I28" s="10"/>
    </row>
    <row r="29" spans="1:15" ht="15.75" customHeight="1" x14ac:dyDescent="0.3">
      <c r="A29" s="4" t="s">
        <v>35</v>
      </c>
      <c r="B29" s="11" t="s">
        <v>63</v>
      </c>
      <c r="C29" s="92">
        <v>0</v>
      </c>
      <c r="D29" s="92">
        <v>0</v>
      </c>
      <c r="E29" s="92">
        <f t="shared" ref="E29:O29" si="0">frac_maize</f>
        <v>0.99</v>
      </c>
      <c r="F29" s="92">
        <f t="shared" si="0"/>
        <v>0.99</v>
      </c>
      <c r="G29" s="92">
        <f t="shared" si="0"/>
        <v>0.99</v>
      </c>
      <c r="H29" s="92">
        <f t="shared" si="0"/>
        <v>0.99</v>
      </c>
      <c r="I29" s="92">
        <f t="shared" si="0"/>
        <v>0.99</v>
      </c>
      <c r="J29" s="92">
        <f t="shared" si="0"/>
        <v>0.99</v>
      </c>
      <c r="K29" s="92">
        <f t="shared" si="0"/>
        <v>0.99</v>
      </c>
      <c r="L29" s="92">
        <f t="shared" si="0"/>
        <v>0.99</v>
      </c>
      <c r="M29" s="92">
        <f t="shared" si="0"/>
        <v>0.99</v>
      </c>
      <c r="N29" s="92">
        <f t="shared" si="0"/>
        <v>0.99</v>
      </c>
      <c r="O29" s="92">
        <f t="shared" si="0"/>
        <v>0.99</v>
      </c>
    </row>
    <row r="30" spans="1:15" ht="15.75" customHeight="1" x14ac:dyDescent="0.25">
      <c r="B30" s="11" t="s">
        <v>64</v>
      </c>
      <c r="C30" s="92">
        <v>0</v>
      </c>
      <c r="D30" s="92">
        <v>0</v>
      </c>
      <c r="E30" s="92">
        <f t="shared" ref="E30:O30" si="1">frac_rice</f>
        <v>5.0000000000000001E-3</v>
      </c>
      <c r="F30" s="92">
        <f t="shared" si="1"/>
        <v>5.0000000000000001E-3</v>
      </c>
      <c r="G30" s="92">
        <f t="shared" si="1"/>
        <v>5.0000000000000001E-3</v>
      </c>
      <c r="H30" s="92">
        <f t="shared" si="1"/>
        <v>5.0000000000000001E-3</v>
      </c>
      <c r="I30" s="92">
        <f t="shared" si="1"/>
        <v>5.0000000000000001E-3</v>
      </c>
      <c r="J30" s="92">
        <f t="shared" si="1"/>
        <v>5.0000000000000001E-3</v>
      </c>
      <c r="K30" s="92">
        <f t="shared" si="1"/>
        <v>5.0000000000000001E-3</v>
      </c>
      <c r="L30" s="92">
        <f t="shared" si="1"/>
        <v>5.0000000000000001E-3</v>
      </c>
      <c r="M30" s="92">
        <f t="shared" si="1"/>
        <v>5.0000000000000001E-3</v>
      </c>
      <c r="N30" s="92">
        <f t="shared" si="1"/>
        <v>5.0000000000000001E-3</v>
      </c>
      <c r="O30" s="92">
        <f t="shared" si="1"/>
        <v>5.0000000000000001E-3</v>
      </c>
    </row>
    <row r="31" spans="1:15" ht="15.75" customHeight="1" x14ac:dyDescent="0.25">
      <c r="B31" s="11" t="s">
        <v>62</v>
      </c>
      <c r="C31" s="92">
        <v>0</v>
      </c>
      <c r="D31" s="92">
        <v>0</v>
      </c>
      <c r="E31" s="92">
        <f>frac_wheat</f>
        <v>5.0000000000000001E-3</v>
      </c>
      <c r="F31" s="92">
        <f t="shared" ref="F31:O31" si="2">frac_wheat</f>
        <v>5.0000000000000001E-3</v>
      </c>
      <c r="G31" s="92">
        <f t="shared" si="2"/>
        <v>5.0000000000000001E-3</v>
      </c>
      <c r="H31" s="92">
        <f t="shared" si="2"/>
        <v>5.0000000000000001E-3</v>
      </c>
      <c r="I31" s="92">
        <f t="shared" si="2"/>
        <v>5.0000000000000001E-3</v>
      </c>
      <c r="J31" s="92">
        <f t="shared" si="2"/>
        <v>5.0000000000000001E-3</v>
      </c>
      <c r="K31" s="92">
        <f t="shared" si="2"/>
        <v>5.0000000000000001E-3</v>
      </c>
      <c r="L31" s="92">
        <f t="shared" si="2"/>
        <v>5.0000000000000001E-3</v>
      </c>
      <c r="M31" s="92">
        <f t="shared" si="2"/>
        <v>5.0000000000000001E-3</v>
      </c>
      <c r="N31" s="92">
        <f t="shared" si="2"/>
        <v>5.0000000000000001E-3</v>
      </c>
      <c r="O31" s="92">
        <f t="shared" si="2"/>
        <v>5.0000000000000001E-3</v>
      </c>
    </row>
    <row r="32" spans="1:15" ht="15.75" customHeight="1" x14ac:dyDescent="0.25">
      <c r="B32" s="11" t="s">
        <v>47</v>
      </c>
      <c r="C32" s="92">
        <v>0</v>
      </c>
      <c r="D32" s="92">
        <v>0</v>
      </c>
      <c r="E32" s="92">
        <v>1</v>
      </c>
      <c r="F32" s="92">
        <v>1</v>
      </c>
      <c r="G32" s="92">
        <v>1</v>
      </c>
      <c r="H32" s="92">
        <v>1</v>
      </c>
      <c r="I32" s="92">
        <v>1</v>
      </c>
      <c r="J32" s="92">
        <v>1</v>
      </c>
      <c r="K32" s="92">
        <v>1</v>
      </c>
      <c r="L32" s="92">
        <v>1</v>
      </c>
      <c r="M32" s="92">
        <v>1</v>
      </c>
      <c r="N32" s="92">
        <v>1</v>
      </c>
      <c r="O32" s="92">
        <v>1</v>
      </c>
    </row>
    <row r="33" spans="1:15" ht="15.75" customHeight="1" x14ac:dyDescent="0.25">
      <c r="B33" s="11" t="s">
        <v>34</v>
      </c>
      <c r="C33" s="92">
        <f t="shared" ref="C33:O33" si="3">frac_malaria_risk</f>
        <v>5.0000000000000001E-3</v>
      </c>
      <c r="D33" s="92">
        <f t="shared" si="3"/>
        <v>5.0000000000000001E-3</v>
      </c>
      <c r="E33" s="92">
        <f t="shared" si="3"/>
        <v>5.0000000000000001E-3</v>
      </c>
      <c r="F33" s="92">
        <f t="shared" si="3"/>
        <v>5.0000000000000001E-3</v>
      </c>
      <c r="G33" s="92">
        <f t="shared" si="3"/>
        <v>5.0000000000000001E-3</v>
      </c>
      <c r="H33" s="92">
        <f t="shared" si="3"/>
        <v>5.0000000000000001E-3</v>
      </c>
      <c r="I33" s="92">
        <f t="shared" si="3"/>
        <v>5.0000000000000001E-3</v>
      </c>
      <c r="J33" s="92">
        <f t="shared" si="3"/>
        <v>5.0000000000000001E-3</v>
      </c>
      <c r="K33" s="92">
        <f t="shared" si="3"/>
        <v>5.0000000000000001E-3</v>
      </c>
      <c r="L33" s="92">
        <f t="shared" si="3"/>
        <v>5.0000000000000001E-3</v>
      </c>
      <c r="M33" s="92">
        <f t="shared" si="3"/>
        <v>5.0000000000000001E-3</v>
      </c>
      <c r="N33" s="92">
        <f t="shared" si="3"/>
        <v>5.0000000000000001E-3</v>
      </c>
      <c r="O33" s="92">
        <f t="shared" si="3"/>
        <v>5.0000000000000001E-3</v>
      </c>
    </row>
    <row r="34" spans="1:15" ht="15.75" customHeight="1" x14ac:dyDescent="0.25">
      <c r="B34" s="33" t="s">
        <v>83</v>
      </c>
      <c r="C34" s="92">
        <v>1</v>
      </c>
      <c r="D34" s="92">
        <v>1</v>
      </c>
      <c r="E34" s="92">
        <v>1</v>
      </c>
      <c r="F34" s="92">
        <v>1</v>
      </c>
      <c r="G34" s="92">
        <v>1</v>
      </c>
      <c r="H34" s="92">
        <v>1</v>
      </c>
      <c r="I34" s="92">
        <v>1</v>
      </c>
      <c r="J34" s="92">
        <v>1</v>
      </c>
      <c r="K34" s="92">
        <v>1</v>
      </c>
      <c r="L34" s="92">
        <v>1</v>
      </c>
      <c r="M34" s="92">
        <v>1</v>
      </c>
      <c r="N34" s="92">
        <v>1</v>
      </c>
      <c r="O34" s="92">
        <v>1</v>
      </c>
    </row>
    <row r="35" spans="1:15" ht="15.75" customHeight="1" x14ac:dyDescent="0.25">
      <c r="A35" s="5"/>
      <c r="B35" s="33" t="s">
        <v>82</v>
      </c>
      <c r="C35" s="92">
        <v>1</v>
      </c>
      <c r="D35" s="92">
        <v>1</v>
      </c>
      <c r="E35" s="92">
        <v>1</v>
      </c>
      <c r="F35" s="92">
        <v>1</v>
      </c>
      <c r="G35" s="92">
        <v>1</v>
      </c>
      <c r="H35" s="92">
        <v>1</v>
      </c>
      <c r="I35" s="92">
        <v>1</v>
      </c>
      <c r="J35" s="92">
        <v>1</v>
      </c>
      <c r="K35" s="92">
        <v>1</v>
      </c>
      <c r="L35" s="92">
        <v>1</v>
      </c>
      <c r="M35" s="92">
        <v>1</v>
      </c>
      <c r="N35" s="92">
        <v>1</v>
      </c>
      <c r="O35" s="92">
        <v>1</v>
      </c>
    </row>
    <row r="36" spans="1:15" s="5" customFormat="1" ht="15.75" customHeight="1" x14ac:dyDescent="0.25">
      <c r="B36" s="33" t="s">
        <v>81</v>
      </c>
      <c r="C36" s="92">
        <v>1</v>
      </c>
      <c r="D36" s="92">
        <v>1</v>
      </c>
      <c r="E36" s="92">
        <v>1</v>
      </c>
      <c r="F36" s="92">
        <v>1</v>
      </c>
      <c r="G36" s="92">
        <v>1</v>
      </c>
      <c r="H36" s="92">
        <v>1</v>
      </c>
      <c r="I36" s="92">
        <v>1</v>
      </c>
      <c r="J36" s="92">
        <v>1</v>
      </c>
      <c r="K36" s="92">
        <v>1</v>
      </c>
      <c r="L36" s="92">
        <v>1</v>
      </c>
      <c r="M36" s="92">
        <v>1</v>
      </c>
      <c r="N36" s="92">
        <v>1</v>
      </c>
      <c r="O36" s="92">
        <v>1</v>
      </c>
    </row>
    <row r="37" spans="1:15" s="5" customFormat="1" ht="15.75" customHeight="1" x14ac:dyDescent="0.25">
      <c r="B37" s="33" t="s">
        <v>79</v>
      </c>
      <c r="C37" s="92">
        <v>1</v>
      </c>
      <c r="D37" s="92">
        <v>1</v>
      </c>
      <c r="E37" s="92">
        <v>1</v>
      </c>
      <c r="F37" s="92">
        <v>1</v>
      </c>
      <c r="G37" s="92">
        <v>1</v>
      </c>
      <c r="H37" s="92">
        <v>1</v>
      </c>
      <c r="I37" s="92">
        <v>1</v>
      </c>
      <c r="J37" s="92">
        <v>1</v>
      </c>
      <c r="K37" s="92">
        <v>1</v>
      </c>
      <c r="L37" s="92">
        <v>1</v>
      </c>
      <c r="M37" s="92">
        <v>1</v>
      </c>
      <c r="N37" s="92">
        <v>1</v>
      </c>
      <c r="O37" s="92">
        <v>1</v>
      </c>
    </row>
    <row r="38" spans="1:15" s="5" customFormat="1" ht="15.75" customHeight="1" x14ac:dyDescent="0.25">
      <c r="B38" s="33" t="s">
        <v>80</v>
      </c>
      <c r="C38" s="92">
        <v>1</v>
      </c>
      <c r="D38" s="92">
        <v>1</v>
      </c>
      <c r="E38" s="92">
        <v>1</v>
      </c>
      <c r="F38" s="92">
        <v>1</v>
      </c>
      <c r="G38" s="92">
        <v>1</v>
      </c>
      <c r="H38" s="92">
        <v>1</v>
      </c>
      <c r="I38" s="92">
        <v>1</v>
      </c>
      <c r="J38" s="92">
        <v>1</v>
      </c>
      <c r="K38" s="92">
        <v>1</v>
      </c>
      <c r="L38" s="92">
        <v>1</v>
      </c>
      <c r="M38" s="92">
        <v>1</v>
      </c>
      <c r="N38" s="92">
        <v>1</v>
      </c>
      <c r="O38" s="92">
        <v>1</v>
      </c>
    </row>
    <row r="39" spans="1:15" ht="15.75" customHeight="1" x14ac:dyDescent="0.25">
      <c r="B39" s="33"/>
    </row>
  </sheetData>
  <sheetProtection algorithmName="SHA-512" hashValue="8AA2I9UZPCvjoGOxL0MMyqqXoHDNS7n4JtfrsQRho74JNJJKUigxuy0/aEjLs4m9INQV0OZqejhY0qqpkSRx4A==" saltValue="BKXFXqwFrNK8M/n7gCZbMQ==" spinCount="100000" sheet="1" scenarios="1" selectLockedCells="1"/>
  <sortState xmlns:xlrd2="http://schemas.microsoft.com/office/spreadsheetml/2017/richdata2" ref="B14:O21">
    <sortCondition ref="B14:B21"/>
  </sortState>
  <pageMargins left="0.75" right="0.75" top="1" bottom="1" header="0.5" footer="0.5"/>
  <pageSetup paperSize="9"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target population</vt:lpstr>
      <vt:lpstr>Programs cost and coverage</vt:lpstr>
      <vt:lpstr>IYCF cost</vt:lpstr>
      <vt:lpstr>Program dependencies</vt:lpstr>
      <vt:lpstr>Reference programs</vt:lpstr>
      <vt:lpstr>Incidence of conditions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Dom Delport</cp:lastModifiedBy>
  <dcterms:created xsi:type="dcterms:W3CDTF">2017-08-01T10:42:13Z</dcterms:created>
  <dcterms:modified xsi:type="dcterms:W3CDTF">2020-03-24T06:49:08Z</dcterms:modified>
</cp:coreProperties>
</file>