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0A00D9D3-08B9-4ABC-8689-5922222FB00D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I12" i="2" s="1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18" i="2"/>
  <c r="I36" i="2"/>
  <c r="A3" i="2"/>
  <c r="A24" i="2"/>
  <c r="A18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6" i="51" l="1"/>
  <c r="I15" i="2"/>
  <c r="I11" i="2"/>
  <c r="I10" i="2"/>
  <c r="I9" i="2"/>
  <c r="I8" i="2"/>
  <c r="I7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07734A1F-3C44-4B20-A97B-E34B0D2F97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6126184-9151-4DFE-8C9E-8FC4F549F6F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D095941C-6611-496D-8C75-1F66364D21EC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0E0A0E63-C6C4-4823-8230-0C94242EF90F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CB3A6E9D-BA7D-463E-9ACF-DBA189BFDBE5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07741DB0-27E9-4B85-A5F4-6652D0D415ED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B4F35516-A9B9-4210-9E63-4E3AC2A52AA5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25430728-B82A-4F45-9D06-F34C94975B6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401D6F84-0B6D-42BE-80A2-9B3A042304C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0D370DF0-9BC2-4E4C-8749-741A1E3911D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D5DD4050-6551-48D0-9425-08E7B1B40C6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4944B9D6-D39F-4B73-B21E-17CEC3DDC3F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6BF6BE25-0E54-4BC6-B016-559C497AAFD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BF014D0D-5CD4-4B64-A3BE-E70BC92B7F7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EA318FF9-F4CC-41DE-8482-BA4895C034B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1891AEB-AD12-4148-AF8A-33E37F1CC6C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4E12FAE-0362-4DBE-9669-B35EC0C3769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ECCCABB5-3061-42B8-B207-CA488F994A4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6F14D589-A7C1-4F2D-A4BF-A00EE0C582E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5C9DF858-B489-437D-B3F7-EC393AF8DB9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6BB56EAA-1330-489E-BB05-DEB34EC6405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05A05ADE-C55D-43A0-95E6-D7C0AE74DEF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EBA43F60-7709-4E0D-910C-DCCACA69091D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42458B42-639A-4BDC-B522-0F449E7F24D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E24CC9C0-A155-4CA0-B502-1E5D868EFA0F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9ECF56F9-768B-4D9E-85CD-E0D1F549D08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D26DB944-14EC-4A58-A010-CBB64F09C32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B4B15562-57AB-4D7B-A71D-A474FCFE6DF0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C0A40868-73E9-4806-AA0A-E93B4D7F2F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38B0B30B-0054-4AD3-844A-6B92A2768A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4848EC75-D571-406D-9833-E0DDA2376C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37B6D59D-3629-4202-B250-B6A3ECAD2C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4DE06B50-5D9C-46DA-9C60-D69515F898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992D35E7-9100-45FD-A560-C29D91699B9B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F643B98B-75AB-4868-AF64-C675DB725CB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7B43DEE-9B0D-486C-A9A6-8E03A17D9B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852C5D6F-60A3-4EA6-8C0C-31B51C01D9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63ECE6CB-ECF6-412D-8BC6-BB9EB8D720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D9CAA48B-1973-48BB-85EC-589545DE49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6E5F33B0-C7BF-4A42-86D2-0CD399A2AA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B5D4FEC5-3788-441A-9AE5-BB241CFECA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68C3CD36-2F6F-4B74-B4A9-F32A278DF7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8211E492-74CD-4151-98D3-7BB239BF3C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570B24C2-2327-4150-8B14-4FF7EA3964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64A93AF6-1F67-43D4-B68B-EDF7404D94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137AFD36-3483-4AAA-A67F-048B7D2645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F554029C-83C5-4A03-A67F-92A0E950DE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6104D1F7-843F-426A-AA1A-B892509D6F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B6B0C197-AA4C-4036-BAB9-C01703619A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A43A5180-ED81-48CE-8863-89EA7CD3F4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8045E987-5A3F-44D6-92D3-2D20DCF532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ABB6E8E0-26E2-4C32-9DB8-EFD07C73BE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EF7281EF-FF35-4164-A40F-C8177632F1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C2B11F65-38B3-49A3-B8BD-C8EF83CDF8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312401EE-561E-4E38-9F3C-9D625F526E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6395DB20-F345-400E-93CB-E6AA155FC9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EBD307C8-C95E-4378-92E5-3D429DA7F4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F81EC732-2583-44A8-97EB-B198C6992A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2F67DFD7-789D-4B98-A434-E0C3ADE60E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E2B08DF6-77D7-4A39-A8C6-B636876119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4981CF54-3B95-4241-B4BC-A0D656AA26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B3FE0C93-CB59-4A91-B09E-AEA61C625B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7824B38A-F274-4BD5-926C-A454FDD638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A6DAC909-BD52-4D67-A8E2-B3EA0DF56C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6F3DE5C3-C017-429A-8707-856032844C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1882645F-13FE-4A93-923D-B5884646E0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7C889DBF-58E3-4745-8FC9-36F3B9F594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2A2213D2-925E-474D-93CB-C3CE5978DD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592B8346-9930-4D1D-9EA2-0B606D9612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9760E935-F997-4DF9-BB97-11ED6AFE5E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CF2CD4DD-981A-4DEA-821E-5A8286078F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370749EA-3DD9-452C-8937-9BE1164E1F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2BA7C38B-A43D-4FF3-BD66-E39CD8724B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72E1AFEB-6171-4B4F-B879-FC3BE0E3F0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623AF895-A0E4-42BA-A83F-44E3425321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4A2DECE7-A062-477F-AE9B-8BE1DAE284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23609304-7B02-4D07-8A45-4C53B60FB6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23DC1D6E-0ECD-46FC-A462-EB13269D18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3313B879-52E8-4552-A713-84D4D5AF06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B8CA7EB3-8172-4964-94E6-BE32585C9C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8BBAC751-3AAC-40BD-969B-F49005469E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2E4789B4-9839-479B-9DFA-69A9542C77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D99EE33E-38E2-49C5-8E95-9EAAE5FE0E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E37BE43E-CBC3-4474-B33E-02F33D65CE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CD60B06D-B535-4226-944A-0422149976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46286AE4-B6BD-4C16-90F1-FC624CE254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C670500B-11C6-4415-B760-F0581B692A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FA675DF2-8F0A-4A22-B245-1DA4DF9C06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9D34728C-6746-4D74-8A04-161F4A62AB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3A73DD37-067B-4EC3-9A4B-FE10DA878D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1B40D65B-87AB-4DCE-AF98-3855F02EEA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457A7469-7D4B-43E1-A684-8445185E87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8FA2CCF6-A414-4CF3-A367-84CD294D38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239E7FCA-F115-48D5-8571-AF28D11298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0601CCDA-64F6-44B1-98BE-85F660E96D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D033D0C1-58A0-4FAC-A534-587F948E67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205C1C88-AC9D-411F-BF99-4DB179DC0E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C9F8AF5A-1AF9-4C0D-9F2B-9172B3841C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792900CB-E237-4DC2-9C97-78C8F95C24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97B30610-B835-4C0A-B6FC-A01B17A255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53440A62-745E-494C-BF12-59FA61D8B5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74CA2CA0-7154-4742-92C5-AE66C405C6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8E47E849-55FB-4622-A03C-B950F234C7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845972EB-F41E-43E7-AB0F-41272CDBBB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DE59BDBE-558D-4908-9D57-9FE1724EA8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4BB8AF0C-9476-41BB-86F7-C080AC4BBC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0C0F0B2C-7D2E-4B93-8058-EF03B19ED4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773AF453-A76B-4627-8659-C43C3AF237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3F89F25F-9D84-4F7A-B911-1065610BAF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691D6B11-4EFF-4866-A851-B8FF60E311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37F0B447-EBF7-45D5-BE75-76FC4F5D48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B4EB7E7F-AC0D-4331-A0DB-25FCAB1BCC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716B9C03-77CA-4B19-9A23-4E746B0201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9E067DFE-675E-459D-84DD-0E07519EAF0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76B2E235-2BDE-40BE-8880-EDB8D9FE020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B3B8B1E2-32F3-42BB-808D-0A95682F222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E2171DD1-8876-4E82-86CC-23D965AF5A6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339AD982-65B6-4AEC-BCC3-1A79D1A60A9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9886BB30-7AA4-4791-BDAE-73E7914774B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ABEC2E3A-4543-4C4B-9508-89251AFF13B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F2A3FD4C-0372-40AA-A9A1-C8EE950A055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1A2BAAE2-0CBF-4A32-80B6-41A30B151E8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8300C91A-F137-4C67-81A6-6CAE7674EF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A98BF5B2-FDDC-4CF9-BC31-A31CEB797AD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DAF44620-15F6-4701-8986-6FCC24B757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DF238B70-6356-4B67-95DD-37A7646498C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0A5396E8-2ABA-4633-9B8A-5930A312ED1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72D49553-FFA8-4758-AC11-9B53E0529B8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E185E2FE-D72C-4E13-965E-2373FD8F203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41283D65-CD46-41D2-AC30-8C5B9B5D73B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13CA9019-20D5-40E4-AA16-90DA33E8468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86CD3226-9101-4B71-878D-FA55D75F26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AA674206-A79D-4FAD-8A47-0C8261E9A18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D490F99C-BF37-414B-9B46-9A335BB34DC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5C998199-AE9D-466A-8487-DC8F13CD199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C62B3758-2F93-4064-95CD-FE89A6873C4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C0C4BF42-7143-40AD-ACE8-C3EB37C14EE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0685E602-2BA6-4B83-9491-3E856DD970A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E382E0A8-1B6E-487A-90A5-1552A0D07F7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87E181CE-916A-4C1E-93A4-FB5FFFE261B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80FEF589-E75B-4FD9-90C0-3CAF71A9321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D9312208-C5C4-4552-8648-87883874C37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30E4FDD2-43A7-4178-A320-A24A93FEB41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926FAADB-9241-4795-9DD8-E878F7D8EF5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A6972309-5F03-4DD8-8373-A7598679564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6AEC0071-8112-4C2C-9F39-4DC4E0D9518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40A72FF8-610C-462C-8206-ACE91A1A106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53DB2B48-3E65-48E8-AE3D-4110FFC77DA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439AD812-6EB7-4D22-BD6E-1A2389D3CCC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795E1D84-10EB-4DB9-8008-0343A23763A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F453D881-7110-483D-B469-925B59F8D34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7BF523E2-9D82-4D1D-9B71-E9DEA61795E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03ECB016-B046-43BB-BB73-446E10E3A08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5F9EFA1-164B-41D7-8FC0-3693F92FDAC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D260563-DAFF-403C-BA54-843DEB17971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D7F0F06C-00C9-4E2C-A520-DAF14661E16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E2117AC8-47B5-495A-A621-1D25959B98B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4C5D2041-BCF1-4E16-BC55-A57E4DE3F75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1F9328F-5B8C-42ED-A023-DE27647102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587C59A0-10EE-46CE-B991-AC9249FC83E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6CD671F8-131B-4D60-B922-A3E7E78F28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E6D2402E-4C63-4AEC-8332-A6553B855D2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4E727AF5-D767-45A4-85F3-EA1B1B58AE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ADE11C56-A66D-4B9F-8174-429E0C2BA38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905A6BC6-D51A-4A42-A77F-2992621CF88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1D16417C-6A33-4067-8430-94DF4FE8C4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8D5169C1-F8DC-407C-A1CC-1BE518EC38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C639669D-C279-4595-ABB9-4FDEE357EA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CF84665B-F606-45C6-823D-9C8E7019C6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7B9CE9A7-C3A0-434B-9C5B-738F824B78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BC7FCB50-6EC3-4385-92E9-975F653BFF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AE57EFF6-BCA9-457F-BD67-E18B8C6BAB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A0976EFB-86CB-4047-887F-85FA661558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8220B523-E6ED-4BE0-9B7E-EE91DFB4DF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321D7B0C-7819-479D-A423-A1AD56FF91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BF809AB3-84EB-47D1-83E9-151F23B6FF7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E1F37E72-39E9-4938-BA3D-0EA81C72A5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AB20E511-5701-48AC-A04A-AA95560A0C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CAAF1E37-0432-4B78-A30C-CCFE78BE4A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4C8BD3F8-2E3C-4D8B-9D9E-1C297124A1E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C41B2A39-450A-47C7-9176-8BA8EE884A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4BDB11B3-A9F2-4F8B-A872-9F1F397E4D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3ECA56D6-01EC-4BE2-B7C7-6EC2F0424E4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3709ECB5-52EB-4DCD-B892-EC34F60F7E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3F1B4404-8142-422E-B801-0A0DE5CFAD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27A26258-B4D9-4AE2-843D-D08C378C52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3B395B95-CD9D-407D-AA7A-54B84956D6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1E96D326-2236-485F-A803-26266F641B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9DE80BE4-E71F-4C50-AE91-1891CBDF8B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C6EDE13D-2D4F-4D59-A39E-22588D2A72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BB408986-70C8-4B9C-B964-440E02FB911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82978CE0-4690-4BDC-AFCA-C52B417A99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FE06D9FF-030F-4EBC-965D-521A18C314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276F419C-70F5-4C41-ACDF-C71C719A66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A7D037F5-3C84-4660-9BD2-CBB95317245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B8448E95-989F-4D93-A2DF-C8E25617F20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2F899EDE-6D46-420B-8B19-85A1D80B311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FDDC94B4-8B4F-43BA-B4BA-6B45CE9757D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0066B85C-688D-485E-B911-F90162C4DB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C525016B-DA95-4FD6-907A-C8CDBB8A241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C1E0663E-5A9C-47FF-8D8B-59C2323B2E5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6299BD11-380F-4764-BB34-26ADF3EF705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BA1625A5-B006-47D9-AEFA-D6429B2CEA4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BBC7CFBF-57D1-41D1-AB3F-041A893BDB2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85FAB61D-53B1-4B7E-8AB6-B38D1987435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F977A6EB-BB6A-4BDD-98C4-04C6C8E8574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B7F28CAF-3000-4FA3-B953-12F2936E8C5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18F8398B-C1CB-4DDD-A1C2-277EE24C2E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984143E-2406-4579-A00B-CE6FB277DA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8F8510B4-7E95-4FD6-96EC-8F5743C5B6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2ECAABB3-DEC4-42A3-9C52-40476867BD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4944FA8A-F8E6-40CF-BFEB-B32111D247E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E96C9933-4041-40D1-920F-4F36264F8B1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281479A4-CB73-4828-B680-2F64728213B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CB6B92FF-DE62-489F-A656-FC2A5DA608ED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203985AC-B396-433F-96BD-6741A2D7720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68A87231-F4B0-43D9-95E8-5B0891031A1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584C8663-2F75-4C76-9426-10AEF073890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AFADF569-B180-4579-86E8-4E48D3B16F0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3DE7E59-E58B-4506-99F3-0FA544B667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D48D209D-BF52-4246-866C-4D2D625827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4ECA242A-CB6E-4107-9378-56D0B3A7E0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3755A386-733E-47EC-B6D1-361F6AB7BC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220283D4-C825-4B1C-8758-370BBB0E4B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21219E74-9C7A-43CF-9CB4-D95B393AE0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17CBBAB4-86BF-4388-A13E-607F1BCB86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F3A78E3E-C173-4EFB-A6EA-6BA6D0D4F1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3F900896-8806-4C41-82A6-8CB9DF5F3D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C625E9CB-A075-4447-BD21-6446FC21FD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2AEC91AE-2509-41CD-B315-67E038BF8B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2271BC7F-0C78-41AE-AD33-A4B831654D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6B8691CC-B6E8-4DDA-A29A-81346CC7D6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AB23A2E3-553C-402F-8BCF-E938140BCE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F2FC6EA0-7D7D-409D-8490-1AA263A026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A44E5B65-E56A-4736-9AB6-0594B67D50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95896EB2-BC21-44BD-9C4A-509EB7BDF5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6686AEE5-47EB-40C5-839B-DFBCAB0360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8452A85B-56CD-46BD-9FE1-3691747C32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B3371E4A-2BEF-4F0D-BB1A-A5CA7E9FE4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B0B7D77B-BD3C-462C-8DC9-05A23765AA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D660099E-0992-44B6-8999-7D832E9837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5936B5C2-F0DF-423C-83DB-CB2C8651CE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C7B0F545-DC02-402F-8325-F17F170F97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E176580D-BC1F-40CF-8ACD-65F9BF6EEC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FB0FB8BE-6126-4682-B10F-B46FB09D18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5DE4DE1F-2288-4B6C-BEEA-38B0175596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E096C58F-1682-429F-B24D-30393D14FE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547EF97E-42AA-4F13-A741-4BF66FC9DE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4A6E91D6-4448-4E7F-9AE1-52085729DC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D63737C2-DDC8-4416-93F8-3078A6B874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1E5E4720-26DB-446F-9BE6-B2C895E2EB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4B6B1FF7-7C1A-46B0-9ED6-03305DCA30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DC6130C8-3541-4975-9DBE-D58C603F27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D18360C9-3DAA-4D56-889C-6533AC0B1A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DD8A9F3B-0634-443A-BF0F-E8A9110D02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B4B7DC6A-4332-4A60-981B-6F17683921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A1AACFAF-0AF5-4FAB-AD26-75A9DA084E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C082D7F0-3B81-43A8-AB7F-CDF08EE5E3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6C57AA1B-11EC-4795-BC20-D7CC61EA66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ABD4B2E4-85B8-4856-89A1-CAD40643D6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1A1A96D0-7000-48A1-995D-8B677FE579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ED063B5-EF8B-44F4-A7FD-71369782D0C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7CABC708-AF45-4E5F-9D4A-13E667B6CDF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0858B49D-D196-4B66-8A51-699CF0E1C95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5E9ABFFF-8B5F-429D-9FA1-1137D947CEF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BEAFEB90-AE96-47A5-B68A-E3A76DF645D4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BD7CF185-DF6A-4011-87FE-218FB822D36A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A503BB9E-F837-4ACF-A433-E7ABD9CDBF0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2DD31102-E773-44E0-A4D3-D2F4567C55E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C226732E-7978-4973-8B3F-306A5002E0A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8066CC79-056C-4CF9-8B8C-4C1BCD5F4A6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0CDB6546-71DE-498F-92FC-4F01EEB48E2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0E31CE62-D1E8-428D-B2FE-2D6B32089C4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C957078D-D43A-498A-B0B3-1B2EBD342F6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AF0E6468-45F9-4398-98A8-3965C3EF014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73331FCD-7B08-4267-B35F-B5A13ED24AD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FBB2CF33-4A2B-46C0-BEE9-F01FAD10F3A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0EA9DE59-4482-4DF4-8710-DA103600855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29F928D4-392B-4D5A-AEF0-9D0FCB0C4BE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5305F469-B080-4BD1-9B0A-44E069D688F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4A2297B0-468A-470C-B4ED-932745ABDA9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6E29EFA1-C690-49AF-B128-5ABDDEC9D5A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0F320BA5-C8F0-439A-BD8B-BC0DDE8C2D7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561CE353-A5EE-41E5-B76B-A65EF88C4E9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4DDFFD17-46AF-45E2-949F-B9A936874BA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43A568FF-67DB-496F-891E-3323B6A9158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CD827644-6DC2-4C9E-8227-20A72C9F50F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10D05D5C-7F7E-4ED6-A65C-A8F39BE1F5A2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3725A118-A9B4-4390-998E-8C0F89C8D4D5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A9661ACD-9025-450F-BD98-884864EA0FC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D2C7A129-8140-42E9-93D8-987A75CE7CE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31023361-E79C-4760-8CE0-6F653ECCAB1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BC7B9FB9-5204-4C6E-A28A-53F89BDCC28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C2866BA9-3652-4D92-81C6-27E79C3FD00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5CA8C474-2017-4FF4-B90B-CAF99A59A3F9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F399C20C-EDDD-4665-B351-9231FDA1207F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51C45E70-448F-4520-BC4D-793FD00F7B2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CB75F0A0-81AB-4870-B7E0-90DB0E61104B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E183D7BF-9C24-4E19-9135-67F89F8536D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8FF3B9E1-2147-486D-9838-605D951F48E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8AD4377-FC7B-4CBB-A91A-E81C07B0C71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10E7EAF3-0BFD-4716-B9B7-058D9E5F097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AB0AF315-0209-4B6D-BDAF-0800EB1D448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3F3CCE58-771E-4223-A182-4EC916FBD355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7C3FEA50-86DF-44CE-850D-F98A748E49F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CF14652E-BEEB-45E2-9E9F-50106196189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A5C4C6AD-727C-452A-9761-A788C25E479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7B001FE8-6724-492F-82EF-0027538F52A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8C56A4D2-3FEE-4F77-AC2B-1C3C83C0EE9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82ABA05A-B0AA-4554-8D1C-3FAA66390BF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DB2E958A-5DF2-4C9B-8F6D-C8A79FA47CF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4863041C-F2F6-4B73-AA75-15CB58EF9CB1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0943CAF2-8E79-4DF2-B778-585B050E369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85BBCA19-234F-4FD7-BE1E-38951081AD5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81F7F2E7-AA32-4B2B-8ED2-362ED494281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F53B6D09-4FD5-4C18-B04F-1F9745E3FA1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077F65C3-BEA7-4E00-9BA0-5647DFF6E16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37A807DF-0DB6-41AD-B1C9-2412D1A6D82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8C2BF8DE-DF77-44A4-A32B-5EF40655536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CABC6EC5-E4D8-4A19-9D52-6F80FF553AD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F3F08366-4083-49A4-94F0-92FE3089304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53F7C7EB-A733-4D80-B2E6-F31A6B002B01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CC311F3B-6A74-4B1E-87C4-47186DBC882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<sst xmlns="http://schemas.openxmlformats.org/spreadsheetml/2006/main" count="1102" uniqueCount="271">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</sst>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277206</v>
      </c>
    </row>
    <row r="8" spans="1:3" ht="15" customHeight="1" x14ac:dyDescent="0.25">
      <c r="B8" s="7" t="s">
        <v>106</v>
      </c>
      <c r="C8" s="70">
        <v>0.33399999999999996</v>
      </c>
    </row>
    <row r="9" spans="1:3" ht="15" customHeight="1" x14ac:dyDescent="0.25">
      <c r="B9" s="9" t="s">
        <v>107</v>
      </c>
      <c r="C9" s="71">
        <v>0.96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0.77599999999999991</v>
      </c>
    </row>
    <row r="12" spans="1:3" ht="15" customHeight="1" x14ac:dyDescent="0.25">
      <c r="B12" s="7" t="s">
        <v>109</v>
      </c>
      <c r="C12" s="70">
        <v>0.67700000000000005</v>
      </c>
    </row>
    <row r="13" spans="1:3" ht="15" customHeight="1" x14ac:dyDescent="0.25">
      <c r="B13" s="7" t="s">
        <v>110</v>
      </c>
      <c r="C13" s="70">
        <v>0.66299999999999992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0.13100000000000001</v>
      </c>
    </row>
    <row r="24" spans="1:3" ht="15" customHeight="1" x14ac:dyDescent="0.25">
      <c r="B24" s="20" t="s">
        <v>102</v>
      </c>
      <c r="C24" s="71">
        <v>0.434</v>
      </c>
    </row>
    <row r="25" spans="1:3" ht="15" customHeight="1" x14ac:dyDescent="0.25">
      <c r="B25" s="20" t="s">
        <v>103</v>
      </c>
      <c r="C25" s="71">
        <v>0.35249999999999998</v>
      </c>
    </row>
    <row r="26" spans="1:3" ht="15" customHeight="1" x14ac:dyDescent="0.25">
      <c r="B26" s="20" t="s">
        <v>104</v>
      </c>
      <c r="C26" s="71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0.27200000000000002</v>
      </c>
    </row>
    <row r="30" spans="1:3" ht="14.25" customHeight="1" x14ac:dyDescent="0.25">
      <c r="B30" s="30" t="s">
        <v>76</v>
      </c>
      <c r="C30" s="73">
        <v>6.5000000000000002E-2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0.54400000000000004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21.5</v>
      </c>
    </row>
    <row r="38" spans="1:5" ht="15" customHeight="1" x14ac:dyDescent="0.25">
      <c r="B38" s="16" t="s">
        <v>91</v>
      </c>
      <c r="C38" s="75">
        <v>35.1</v>
      </c>
      <c r="D38" s="17"/>
      <c r="E38" s="18"/>
    </row>
    <row r="39" spans="1:5" ht="15" customHeight="1" x14ac:dyDescent="0.25">
      <c r="B39" s="16" t="s">
        <v>90</v>
      </c>
      <c r="C39" s="75">
        <v>48.3</v>
      </c>
      <c r="D39" s="17"/>
      <c r="E39" s="17"/>
    </row>
    <row r="40" spans="1:5" ht="15" customHeight="1" x14ac:dyDescent="0.25">
      <c r="B40" s="16" t="s">
        <v>171</v>
      </c>
      <c r="C40" s="75">
        <v>2.91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2.63E-2</v>
      </c>
      <c r="D45" s="17"/>
    </row>
    <row r="46" spans="1:5" ht="15.75" customHeight="1" x14ac:dyDescent="0.25">
      <c r="B46" s="16" t="s">
        <v>11</v>
      </c>
      <c r="C46" s="71">
        <v>0.1368</v>
      </c>
      <c r="D46" s="17"/>
    </row>
    <row r="47" spans="1:5" ht="15.75" customHeight="1" x14ac:dyDescent="0.25">
      <c r="B47" s="16" t="s">
        <v>12</v>
      </c>
      <c r="C47" s="71">
        <v>0.21940000000000001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3.4037880358349999</v>
      </c>
      <c r="D51" s="17"/>
    </row>
    <row r="52" spans="1:4" ht="15" customHeight="1" x14ac:dyDescent="0.25">
      <c r="B52" s="16" t="s">
        <v>125</v>
      </c>
      <c r="C52" s="76">
        <v>3.6249168675599996</v>
      </c>
    </row>
    <row r="53" spans="1:4" ht="15.75" customHeight="1" x14ac:dyDescent="0.25">
      <c r="B53" s="16" t="s">
        <v>126</v>
      </c>
      <c r="C53" s="76">
        <v>3.6249168675599996</v>
      </c>
    </row>
    <row r="54" spans="1:4" ht="15.75" customHeight="1" x14ac:dyDescent="0.25">
      <c r="B54" s="16" t="s">
        <v>127</v>
      </c>
      <c r="C54" s="76">
        <v>2.77366681126</v>
      </c>
    </row>
    <row r="55" spans="1:4" ht="15.75" customHeight="1" x14ac:dyDescent="0.25">
      <c r="B55" s="16" t="s">
        <v>128</v>
      </c>
      <c r="C55" s="76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0.34613422063006588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77.390193053910821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40.314078775655155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717.93406611531384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1.8412357265269286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1.9135444901370438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1.9135444901370438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1.9135444901370438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1.9135444901370438</v>
      </c>
      <c r="E13" s="86" t="s">
        <v>202</v>
      </c>
    </row>
    <row r="14" spans="1:5" ht="15.75" customHeight="1" x14ac:dyDescent="0.25">
      <c r="A14" s="11" t="s">
        <v>187</v>
      </c>
      <c r="B14" s="85">
        <v>0.56799999999999995</v>
      </c>
      <c r="C14" s="85">
        <v>0.95</v>
      </c>
      <c r="D14" s="86">
        <v>13.446378219451061</v>
      </c>
      <c r="E14" s="86" t="s">
        <v>202</v>
      </c>
    </row>
    <row r="15" spans="1:5" ht="15.75" customHeight="1" x14ac:dyDescent="0.25">
      <c r="A15" s="11" t="s">
        <v>209</v>
      </c>
      <c r="B15" s="85">
        <v>0.56799999999999995</v>
      </c>
      <c r="C15" s="85">
        <v>0.95</v>
      </c>
      <c r="D15" s="86">
        <v>13.446378219451061</v>
      </c>
      <c r="E15" s="86" t="s">
        <v>202</v>
      </c>
    </row>
    <row r="16" spans="1:5" ht="15.75" customHeight="1" x14ac:dyDescent="0.25">
      <c r="A16" s="52" t="s">
        <v>57</v>
      </c>
      <c r="B16" s="85">
        <v>0.13100000000000001</v>
      </c>
      <c r="C16" s="85">
        <v>0.95</v>
      </c>
      <c r="D16" s="86">
        <v>1.1530314605155485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0.29899999999999999</v>
      </c>
      <c r="C18" s="85">
        <v>0.95</v>
      </c>
      <c r="D18" s="87">
        <v>16.459595752364979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16.459595752364979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16.459595752364979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15.053841697970233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23.431813824225639</v>
      </c>
      <c r="E22" s="86" t="s">
        <v>202</v>
      </c>
    </row>
    <row r="23" spans="1:5" ht="15.75" customHeight="1" x14ac:dyDescent="0.25">
      <c r="A23" s="52" t="s">
        <v>34</v>
      </c>
      <c r="B23" s="85">
        <v>0.38900000000000001</v>
      </c>
      <c r="C23" s="85">
        <v>0.95</v>
      </c>
      <c r="D23" s="86">
        <v>4.5507118970106513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19.019954364099398</v>
      </c>
      <c r="E24" s="86" t="s">
        <v>202</v>
      </c>
    </row>
    <row r="25" spans="1:5" ht="15.75" customHeight="1" x14ac:dyDescent="0.25">
      <c r="A25" s="52" t="s">
        <v>87</v>
      </c>
      <c r="B25" s="85">
        <v>0.57799999999999996</v>
      </c>
      <c r="C25" s="85">
        <v>0.95</v>
      </c>
      <c r="D25" s="86">
        <v>19.011388008388405</v>
      </c>
      <c r="E25" s="86" t="s">
        <v>202</v>
      </c>
    </row>
    <row r="26" spans="1:5" ht="15.75" customHeight="1" x14ac:dyDescent="0.25">
      <c r="A26" s="52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10.257725119891068</v>
      </c>
      <c r="E27" s="86" t="s">
        <v>202</v>
      </c>
    </row>
    <row r="28" spans="1:5" ht="15.75" customHeight="1" x14ac:dyDescent="0.25">
      <c r="A28" s="52" t="s">
        <v>84</v>
      </c>
      <c r="B28" s="85">
        <v>0.26100000000000001</v>
      </c>
      <c r="C28" s="85">
        <v>0.95</v>
      </c>
      <c r="D28" s="86">
        <v>3.376684887181129</v>
      </c>
      <c r="E28" s="86" t="s">
        <v>202</v>
      </c>
    </row>
    <row r="29" spans="1:5" ht="15.75" customHeight="1" x14ac:dyDescent="0.25">
      <c r="A29" s="52" t="s">
        <v>58</v>
      </c>
      <c r="B29" s="85">
        <v>0.29899999999999999</v>
      </c>
      <c r="C29" s="85">
        <v>0.95</v>
      </c>
      <c r="D29" s="86">
        <v>157.83610683338628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0.93338364466171397</v>
      </c>
      <c r="E30" s="86" t="s">
        <v>202</v>
      </c>
    </row>
    <row r="31" spans="1:5" ht="15.75" customHeight="1" x14ac:dyDescent="0.25">
      <c r="A31" s="52" t="s">
        <v>28</v>
      </c>
      <c r="B31" s="85">
        <v>0.21600000000000003</v>
      </c>
      <c r="C31" s="85">
        <v>0.95</v>
      </c>
      <c r="D31" s="86">
        <v>2.5205892106452601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0.41899999999999998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0.93200000000000005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0.64500000000000002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6.6808099719985172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2.5417541936550143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8.1864442399999987E-2</v>
      </c>
      <c r="C3" s="26">
        <f>frac_mam_1_5months * 2.6</f>
        <v>8.1864442399999987E-2</v>
      </c>
      <c r="D3" s="26">
        <f>frac_mam_6_11months * 2.6</f>
        <v>8.4367238800000008E-2</v>
      </c>
      <c r="E3" s="26">
        <f>frac_mam_12_23months * 2.6</f>
        <v>2.9305099200000004E-2</v>
      </c>
      <c r="F3" s="26">
        <f>frac_mam_24_59months * 2.6</f>
        <v>5.4128866653333337E-2</v>
      </c>
    </row>
    <row r="4" spans="1:6" ht="15.75" customHeight="1" x14ac:dyDescent="0.25">
      <c r="A4" s="3" t="s">
        <v>66</v>
      </c>
      <c r="B4" s="26">
        <f>frac_sam_1month * 2.6</f>
        <v>4.6761351E-2</v>
      </c>
      <c r="C4" s="26">
        <f>frac_sam_1_5months * 2.6</f>
        <v>4.6761351E-2</v>
      </c>
      <c r="D4" s="26">
        <f>frac_sam_6_11months * 2.6</f>
        <v>8.0139958600000005E-2</v>
      </c>
      <c r="E4" s="26">
        <f>frac_sam_12_23months * 2.6</f>
        <v>2.5585359800000002E-2</v>
      </c>
      <c r="F4" s="26">
        <f>frac_sam_24_59months * 2.6</f>
        <v>2.454241434666667E-2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58528.484436999999</v>
      </c>
      <c r="C2" s="78">
        <v>92254</v>
      </c>
      <c r="D2" s="78">
        <v>171824</v>
      </c>
      <c r="E2" s="78">
        <v>140565</v>
      </c>
      <c r="F2" s="78">
        <v>94772</v>
      </c>
      <c r="G2" s="22">
        <f t="shared" ref="G2:G40" si="0">C2+D2+E2+F2</f>
        <v>499415</v>
      </c>
      <c r="H2" s="22">
        <f t="shared" ref="H2:H40" si="1">(B2 + stillbirth*B2/(1000-stillbirth))/(1-abortion)</f>
        <v>68229.330671935837</v>
      </c>
      <c r="I2" s="22">
        <f>G2-H2</f>
        <v>431185.66932806419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58522.332000000002</v>
      </c>
      <c r="C3" s="78">
        <v>93000</v>
      </c>
      <c r="D3" s="78">
        <v>173000</v>
      </c>
      <c r="E3" s="78">
        <v>145000</v>
      </c>
      <c r="F3" s="78">
        <v>98000</v>
      </c>
      <c r="G3" s="22">
        <f t="shared" si="0"/>
        <v>509000</v>
      </c>
      <c r="H3" s="22">
        <f t="shared" si="1"/>
        <v>68222.158494789124</v>
      </c>
      <c r="I3" s="22">
        <f t="shared" ref="I3:I15" si="3">G3-H3</f>
        <v>440777.84150521085</v>
      </c>
    </row>
    <row r="4" spans="1:9" ht="15.75" customHeight="1" x14ac:dyDescent="0.25">
      <c r="A4" s="7">
        <f t="shared" si="2"/>
        <v>2019</v>
      </c>
      <c r="B4" s="77">
        <v>58412.972999999998</v>
      </c>
      <c r="C4" s="78">
        <v>95000</v>
      </c>
      <c r="D4" s="78">
        <v>174000</v>
      </c>
      <c r="E4" s="78">
        <v>148000</v>
      </c>
      <c r="F4" s="78">
        <v>101000</v>
      </c>
      <c r="G4" s="22">
        <f t="shared" si="0"/>
        <v>518000</v>
      </c>
      <c r="H4" s="22">
        <f t="shared" si="1"/>
        <v>68094.673707770853</v>
      </c>
      <c r="I4" s="22">
        <f t="shared" si="3"/>
        <v>449905.32629222912</v>
      </c>
    </row>
    <row r="5" spans="1:9" ht="15.75" customHeight="1" x14ac:dyDescent="0.25">
      <c r="A5" s="7">
        <f t="shared" si="2"/>
        <v>2020</v>
      </c>
      <c r="B5" s="77">
        <v>58281.345000000001</v>
      </c>
      <c r="C5" s="78">
        <v>97000</v>
      </c>
      <c r="D5" s="78">
        <v>176000</v>
      </c>
      <c r="E5" s="78">
        <v>152000</v>
      </c>
      <c r="F5" s="78">
        <v>105000</v>
      </c>
      <c r="G5" s="22">
        <f t="shared" si="0"/>
        <v>530000</v>
      </c>
      <c r="H5" s="22">
        <f t="shared" si="1"/>
        <v>67941.228929145975</v>
      </c>
      <c r="I5" s="22">
        <f t="shared" si="3"/>
        <v>462058.77107085404</v>
      </c>
    </row>
    <row r="6" spans="1:9" ht="15.75" customHeight="1" x14ac:dyDescent="0.25">
      <c r="A6" s="7">
        <f t="shared" si="2"/>
        <v>2021</v>
      </c>
      <c r="B6" s="77">
        <v>58382.34</v>
      </c>
      <c r="C6" s="78">
        <v>99000</v>
      </c>
      <c r="D6" s="78">
        <v>178000</v>
      </c>
      <c r="E6" s="78">
        <v>155000</v>
      </c>
      <c r="F6" s="78">
        <v>109000</v>
      </c>
      <c r="G6" s="22">
        <f t="shared" si="0"/>
        <v>541000</v>
      </c>
      <c r="H6" s="22">
        <f t="shared" si="1"/>
        <v>68058.96341889906</v>
      </c>
      <c r="I6" s="22">
        <f t="shared" si="3"/>
        <v>472941.03658110095</v>
      </c>
    </row>
    <row r="7" spans="1:9" ht="15.75" customHeight="1" x14ac:dyDescent="0.25">
      <c r="A7" s="7">
        <f t="shared" si="2"/>
        <v>2022</v>
      </c>
      <c r="B7" s="77">
        <v>58467.75</v>
      </c>
      <c r="C7" s="78">
        <v>102000</v>
      </c>
      <c r="D7" s="78">
        <v>179000</v>
      </c>
      <c r="E7" s="78">
        <v>158000</v>
      </c>
      <c r="F7" s="78">
        <v>114000</v>
      </c>
      <c r="G7" s="22">
        <f t="shared" si="0"/>
        <v>553000</v>
      </c>
      <c r="H7" s="22">
        <f t="shared" si="1"/>
        <v>68158.529761488418</v>
      </c>
      <c r="I7" s="22">
        <f t="shared" si="3"/>
        <v>484841.47023851157</v>
      </c>
    </row>
    <row r="8" spans="1:9" ht="15.75" customHeight="1" x14ac:dyDescent="0.25">
      <c r="A8" s="7">
        <f t="shared" si="2"/>
        <v>2023</v>
      </c>
      <c r="B8" s="77">
        <v>58536.12</v>
      </c>
      <c r="C8" s="78">
        <v>105000</v>
      </c>
      <c r="D8" s="78">
        <v>181000</v>
      </c>
      <c r="E8" s="78">
        <v>160000</v>
      </c>
      <c r="F8" s="78">
        <v>118000</v>
      </c>
      <c r="G8" s="22">
        <f t="shared" si="0"/>
        <v>564000</v>
      </c>
      <c r="H8" s="22">
        <f t="shared" si="1"/>
        <v>68238.231796880471</v>
      </c>
      <c r="I8" s="22">
        <f t="shared" si="3"/>
        <v>495761.76820311951</v>
      </c>
    </row>
    <row r="9" spans="1:9" ht="15.75" customHeight="1" x14ac:dyDescent="0.25">
      <c r="A9" s="7">
        <f t="shared" si="2"/>
        <v>2024</v>
      </c>
      <c r="B9" s="77">
        <v>58535.684999999998</v>
      </c>
      <c r="C9" s="78">
        <v>108000</v>
      </c>
      <c r="D9" s="78">
        <v>182000</v>
      </c>
      <c r="E9" s="78">
        <v>162000</v>
      </c>
      <c r="F9" s="78">
        <v>122000</v>
      </c>
      <c r="G9" s="22">
        <f t="shared" si="0"/>
        <v>574000</v>
      </c>
      <c r="H9" s="22">
        <f t="shared" si="1"/>
        <v>68237.724697488986</v>
      </c>
      <c r="I9" s="22">
        <f t="shared" si="3"/>
        <v>505762.275302511</v>
      </c>
    </row>
    <row r="10" spans="1:9" ht="15.75" customHeight="1" x14ac:dyDescent="0.25">
      <c r="A10" s="7">
        <f t="shared" si="2"/>
        <v>2025</v>
      </c>
      <c r="B10" s="77">
        <v>58492.570000000007</v>
      </c>
      <c r="C10" s="78">
        <v>112000</v>
      </c>
      <c r="D10" s="78">
        <v>185000</v>
      </c>
      <c r="E10" s="78">
        <v>165000</v>
      </c>
      <c r="F10" s="78">
        <v>126000</v>
      </c>
      <c r="G10" s="22">
        <f t="shared" si="0"/>
        <v>588000</v>
      </c>
      <c r="H10" s="22">
        <f t="shared" si="1"/>
        <v>68187.463570446023</v>
      </c>
      <c r="I10" s="22">
        <f t="shared" si="3"/>
        <v>519812.53642955399</v>
      </c>
    </row>
    <row r="11" spans="1:9" ht="15.75" customHeight="1" x14ac:dyDescent="0.25">
      <c r="A11" s="7">
        <f t="shared" si="2"/>
        <v>2026</v>
      </c>
      <c r="B11" s="77">
        <v>58786.896000000001</v>
      </c>
      <c r="C11" s="78">
        <v>116000</v>
      </c>
      <c r="D11" s="78">
        <v>189000</v>
      </c>
      <c r="E11" s="78">
        <v>167000</v>
      </c>
      <c r="F11" s="78">
        <v>130000</v>
      </c>
      <c r="G11" s="22">
        <f t="shared" si="0"/>
        <v>602000</v>
      </c>
      <c r="H11" s="22">
        <f t="shared" si="1"/>
        <v>68530.572847450516</v>
      </c>
      <c r="I11" s="22">
        <f t="shared" si="3"/>
        <v>533469.4271525495</v>
      </c>
    </row>
    <row r="12" spans="1:9" ht="15.75" customHeight="1" x14ac:dyDescent="0.25">
      <c r="A12" s="7">
        <f t="shared" si="2"/>
        <v>2027</v>
      </c>
      <c r="B12" s="77">
        <v>59076.408000000003</v>
      </c>
      <c r="C12" s="78">
        <v>119000</v>
      </c>
      <c r="D12" s="78">
        <v>192000</v>
      </c>
      <c r="E12" s="78">
        <v>168000</v>
      </c>
      <c r="F12" s="78">
        <v>134000</v>
      </c>
      <c r="G12" s="22">
        <f t="shared" si="0"/>
        <v>613000</v>
      </c>
      <c r="H12" s="22">
        <f t="shared" si="1"/>
        <v>68868.070224522628</v>
      </c>
      <c r="I12" s="22">
        <f t="shared" si="3"/>
        <v>544131.92977547739</v>
      </c>
    </row>
    <row r="13" spans="1:9" ht="15.75" customHeight="1" x14ac:dyDescent="0.25">
      <c r="A13" s="7">
        <f t="shared" si="2"/>
        <v>2028</v>
      </c>
      <c r="B13" s="77">
        <v>59312.748800000001</v>
      </c>
      <c r="C13" s="78">
        <v>123000</v>
      </c>
      <c r="D13" s="78">
        <v>196000</v>
      </c>
      <c r="E13" s="78">
        <v>170000</v>
      </c>
      <c r="F13" s="78">
        <v>138000</v>
      </c>
      <c r="G13" s="22">
        <f t="shared" si="0"/>
        <v>627000</v>
      </c>
      <c r="H13" s="22">
        <f t="shared" si="1"/>
        <v>69143.583502366469</v>
      </c>
      <c r="I13" s="22">
        <f t="shared" si="3"/>
        <v>557856.41649763356</v>
      </c>
    </row>
    <row r="14" spans="1:9" ht="15.75" customHeight="1" x14ac:dyDescent="0.25">
      <c r="A14" s="7">
        <f t="shared" si="2"/>
        <v>2029</v>
      </c>
      <c r="B14" s="77">
        <v>59543.6204</v>
      </c>
      <c r="C14" s="78">
        <v>127000</v>
      </c>
      <c r="D14" s="78">
        <v>202000</v>
      </c>
      <c r="E14" s="78">
        <v>171000</v>
      </c>
      <c r="F14" s="78">
        <v>142000</v>
      </c>
      <c r="G14" s="22">
        <f t="shared" si="0"/>
        <v>642000</v>
      </c>
      <c r="H14" s="22">
        <f t="shared" si="1"/>
        <v>69412.721083677228</v>
      </c>
      <c r="I14" s="22">
        <f t="shared" si="3"/>
        <v>572587.27891632274</v>
      </c>
    </row>
    <row r="15" spans="1:9" ht="15.75" customHeight="1" x14ac:dyDescent="0.25">
      <c r="A15" s="7">
        <f t="shared" si="2"/>
        <v>2030</v>
      </c>
      <c r="B15" s="77">
        <v>59745.008000000002</v>
      </c>
      <c r="C15" s="78">
        <v>130000</v>
      </c>
      <c r="D15" s="78">
        <v>207000</v>
      </c>
      <c r="E15" s="78">
        <v>172000</v>
      </c>
      <c r="F15" s="78">
        <v>146000</v>
      </c>
      <c r="G15" s="22">
        <f t="shared" si="0"/>
        <v>655000</v>
      </c>
      <c r="H15" s="22">
        <f t="shared" si="1"/>
        <v>69647.487817957139</v>
      </c>
      <c r="I15" s="22">
        <f t="shared" si="3"/>
        <v>585352.51218204282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128.23203002960994</v>
      </c>
      <c r="I17" s="22">
        <f t="shared" si="4"/>
        <v>-128.23203002960994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3.6742343500000003E-2</v>
      </c>
    </row>
    <row r="4" spans="1:8" ht="15.75" customHeight="1" x14ac:dyDescent="0.25">
      <c r="B4" s="24" t="s">
        <v>7</v>
      </c>
      <c r="C4" s="79">
        <v>0.1566636264195245</v>
      </c>
    </row>
    <row r="5" spans="1:8" ht="15.75" customHeight="1" x14ac:dyDescent="0.25">
      <c r="B5" s="24" t="s">
        <v>8</v>
      </c>
      <c r="C5" s="79">
        <v>9.8551715232010229E-2</v>
      </c>
    </row>
    <row r="6" spans="1:8" ht="15.75" customHeight="1" x14ac:dyDescent="0.25">
      <c r="B6" s="24" t="s">
        <v>10</v>
      </c>
      <c r="C6" s="79">
        <v>8.6289419515848426E-2</v>
      </c>
    </row>
    <row r="7" spans="1:8" ht="15.75" customHeight="1" x14ac:dyDescent="0.25">
      <c r="B7" s="24" t="s">
        <v>13</v>
      </c>
      <c r="C7" s="79">
        <v>0.12455964923265794</v>
      </c>
    </row>
    <row r="8" spans="1:8" ht="15.75" customHeight="1" x14ac:dyDescent="0.25">
      <c r="B8" s="24" t="s">
        <v>14</v>
      </c>
      <c r="C8" s="79">
        <v>1.737624613380789E-3</v>
      </c>
    </row>
    <row r="9" spans="1:8" ht="15.75" customHeight="1" x14ac:dyDescent="0.25">
      <c r="B9" s="24" t="s">
        <v>27</v>
      </c>
      <c r="C9" s="79">
        <v>0.142771515928864</v>
      </c>
    </row>
    <row r="10" spans="1:8" ht="15.75" customHeight="1" x14ac:dyDescent="0.25">
      <c r="B10" s="24" t="s">
        <v>15</v>
      </c>
      <c r="C10" s="79">
        <v>0.35268410555771412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0.11819821214303999</v>
      </c>
      <c r="D14" s="79">
        <v>0.11819821214303999</v>
      </c>
      <c r="E14" s="79">
        <v>6.2420060624381192E-2</v>
      </c>
      <c r="F14" s="79">
        <v>6.2420060624381192E-2</v>
      </c>
    </row>
    <row r="15" spans="1:8" ht="15.75" customHeight="1" x14ac:dyDescent="0.25">
      <c r="B15" s="24" t="s">
        <v>16</v>
      </c>
      <c r="C15" s="79">
        <v>0.13607269109275499</v>
      </c>
      <c r="D15" s="79">
        <v>0.13607269109275499</v>
      </c>
      <c r="E15" s="79">
        <v>7.1376097038196196E-2</v>
      </c>
      <c r="F15" s="79">
        <v>7.1376097038196196E-2</v>
      </c>
    </row>
    <row r="16" spans="1:8" ht="15.75" customHeight="1" x14ac:dyDescent="0.25">
      <c r="B16" s="24" t="s">
        <v>17</v>
      </c>
      <c r="C16" s="79">
        <v>3.4192727991696301E-2</v>
      </c>
      <c r="D16" s="79">
        <v>3.4192727991696301E-2</v>
      </c>
      <c r="E16" s="79">
        <v>2.1937494125977605E-2</v>
      </c>
      <c r="F16" s="79">
        <v>2.1937494125977605E-2</v>
      </c>
    </row>
    <row r="17" spans="1:8" ht="15.75" customHeight="1" x14ac:dyDescent="0.25">
      <c r="B17" s="24" t="s">
        <v>18</v>
      </c>
      <c r="C17" s="79">
        <v>1.96913463115332E-2</v>
      </c>
      <c r="D17" s="79">
        <v>1.96913463115332E-2</v>
      </c>
      <c r="E17" s="79">
        <v>5.26516042430707E-2</v>
      </c>
      <c r="F17" s="79">
        <v>5.26516042430707E-2</v>
      </c>
    </row>
    <row r="18" spans="1:8" ht="15.75" customHeight="1" x14ac:dyDescent="0.25">
      <c r="B18" s="24" t="s">
        <v>19</v>
      </c>
      <c r="C18" s="79">
        <v>0.23291984663887</v>
      </c>
      <c r="D18" s="79">
        <v>0.23291984663887</v>
      </c>
      <c r="E18" s="79">
        <v>0.32152999401399801</v>
      </c>
      <c r="F18" s="79">
        <v>0.32152999401399801</v>
      </c>
    </row>
    <row r="19" spans="1:8" ht="15.75" customHeight="1" x14ac:dyDescent="0.25">
      <c r="B19" s="24" t="s">
        <v>20</v>
      </c>
      <c r="C19" s="79">
        <v>1.32267966707452E-2</v>
      </c>
      <c r="D19" s="79">
        <v>1.32267966707452E-2</v>
      </c>
      <c r="E19" s="79">
        <v>1.4834973397586999E-2</v>
      </c>
      <c r="F19" s="79">
        <v>1.4834973397586999E-2</v>
      </c>
    </row>
    <row r="20" spans="1:8" ht="15.75" customHeight="1" x14ac:dyDescent="0.25">
      <c r="B20" s="24" t="s">
        <v>21</v>
      </c>
      <c r="C20" s="79">
        <v>4.6687955450066404E-2</v>
      </c>
      <c r="D20" s="79">
        <v>4.6687955450066404E-2</v>
      </c>
      <c r="E20" s="79">
        <v>1.69504232115863E-2</v>
      </c>
      <c r="F20" s="79">
        <v>1.69504232115863E-2</v>
      </c>
    </row>
    <row r="21" spans="1:8" ht="15.75" customHeight="1" x14ac:dyDescent="0.25">
      <c r="B21" s="24" t="s">
        <v>22</v>
      </c>
      <c r="C21" s="79">
        <v>4.8664038038933002E-2</v>
      </c>
      <c r="D21" s="79">
        <v>4.8664038038933002E-2</v>
      </c>
      <c r="E21" s="79">
        <v>0.17555906882465899</v>
      </c>
      <c r="F21" s="79">
        <v>0.17555906882465899</v>
      </c>
    </row>
    <row r="22" spans="1:8" ht="15.75" customHeight="1" x14ac:dyDescent="0.25">
      <c r="B22" s="24" t="s">
        <v>23</v>
      </c>
      <c r="C22" s="79">
        <v>0.35034638566236087</v>
      </c>
      <c r="D22" s="79">
        <v>0.35034638566236087</v>
      </c>
      <c r="E22" s="79">
        <v>0.26274028452054399</v>
      </c>
      <c r="F22" s="79">
        <v>0.26274028452054399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9.5700000000000007E-2</v>
      </c>
    </row>
    <row r="27" spans="1:8" ht="15.75" customHeight="1" x14ac:dyDescent="0.25">
      <c r="B27" s="24" t="s">
        <v>39</v>
      </c>
      <c r="C27" s="79">
        <v>4.2999999999999997E-2</v>
      </c>
    </row>
    <row r="28" spans="1:8" ht="15.75" customHeight="1" x14ac:dyDescent="0.25">
      <c r="B28" s="24" t="s">
        <v>40</v>
      </c>
      <c r="C28" s="79">
        <v>0.19640000000000002</v>
      </c>
    </row>
    <row r="29" spans="1:8" ht="15.75" customHeight="1" x14ac:dyDescent="0.25">
      <c r="B29" s="24" t="s">
        <v>41</v>
      </c>
      <c r="C29" s="79">
        <v>0.2069</v>
      </c>
    </row>
    <row r="30" spans="1:8" ht="15.75" customHeight="1" x14ac:dyDescent="0.25">
      <c r="B30" s="24" t="s">
        <v>42</v>
      </c>
      <c r="C30" s="79">
        <v>2.7699999999999999E-2</v>
      </c>
    </row>
    <row r="31" spans="1:8" ht="15.75" customHeight="1" x14ac:dyDescent="0.25">
      <c r="B31" s="24" t="s">
        <v>43</v>
      </c>
      <c r="C31" s="79">
        <v>0.2094</v>
      </c>
    </row>
    <row r="32" spans="1:8" ht="15.75" customHeight="1" x14ac:dyDescent="0.25">
      <c r="B32" s="24" t="s">
        <v>44</v>
      </c>
      <c r="C32" s="79">
        <v>1.2500000000000001E-2</v>
      </c>
    </row>
    <row r="33" spans="2:3" ht="15.75" customHeight="1" x14ac:dyDescent="0.25">
      <c r="B33" s="24" t="s">
        <v>45</v>
      </c>
      <c r="C33" s="79">
        <v>5.1500000000000004E-2</v>
      </c>
    </row>
    <row r="34" spans="2:3" ht="15.75" customHeight="1" x14ac:dyDescent="0.25">
      <c r="B34" s="24" t="s">
        <v>46</v>
      </c>
      <c r="C34" s="79">
        <v>0.15690000000223517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0.72410234023436915</v>
      </c>
      <c r="D2" s="80">
        <v>0.72410234023436915</v>
      </c>
      <c r="E2" s="80">
        <v>0.71011320972939107</v>
      </c>
      <c r="F2" s="80">
        <v>0.53208517732865679</v>
      </c>
      <c r="G2" s="80">
        <v>0.54737957471131027</v>
      </c>
    </row>
    <row r="3" spans="1:15" ht="15.75" customHeight="1" x14ac:dyDescent="0.25">
      <c r="A3" s="5"/>
      <c r="B3" s="11" t="s">
        <v>118</v>
      </c>
      <c r="C3" s="80">
        <v>0.17553996126893803</v>
      </c>
      <c r="D3" s="80">
        <v>0.17553996126893803</v>
      </c>
      <c r="E3" s="80">
        <v>0.15573517289237682</v>
      </c>
      <c r="F3" s="80">
        <v>0.26156710586436777</v>
      </c>
      <c r="G3" s="80">
        <v>0.24627270848171431</v>
      </c>
    </row>
    <row r="4" spans="1:15" ht="15.75" customHeight="1" x14ac:dyDescent="0.25">
      <c r="A4" s="5"/>
      <c r="B4" s="11" t="s">
        <v>116</v>
      </c>
      <c r="C4" s="81">
        <v>5.2226965544197243E-2</v>
      </c>
      <c r="D4" s="81">
        <v>5.2226965544197243E-2</v>
      </c>
      <c r="E4" s="81">
        <v>8.6020884425736646E-2</v>
      </c>
      <c r="F4" s="81">
        <v>0.13773582089597114</v>
      </c>
      <c r="G4" s="81">
        <v>0.13773582089597114</v>
      </c>
    </row>
    <row r="5" spans="1:15" ht="15.75" customHeight="1" x14ac:dyDescent="0.25">
      <c r="A5" s="5"/>
      <c r="B5" s="11" t="s">
        <v>119</v>
      </c>
      <c r="C5" s="81">
        <v>4.8130732952495495E-2</v>
      </c>
      <c r="D5" s="81">
        <v>4.8130732952495495E-2</v>
      </c>
      <c r="E5" s="81">
        <v>4.8130732952495495E-2</v>
      </c>
      <c r="F5" s="81">
        <v>6.8611895911004209E-2</v>
      </c>
      <c r="G5" s="81">
        <v>6.8611895911004209E-2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0.82982650404761904</v>
      </c>
      <c r="D8" s="80">
        <v>0.82982650404761904</v>
      </c>
      <c r="E8" s="80">
        <v>0.80486326676120956</v>
      </c>
      <c r="F8" s="80">
        <v>0.89053734235384607</v>
      </c>
      <c r="G8" s="80">
        <v>0.86476976286082474</v>
      </c>
    </row>
    <row r="9" spans="1:15" ht="15.75" customHeight="1" x14ac:dyDescent="0.25">
      <c r="B9" s="7" t="s">
        <v>121</v>
      </c>
      <c r="C9" s="80">
        <v>0.12070203695238096</v>
      </c>
      <c r="D9" s="80">
        <v>0.12070203695238096</v>
      </c>
      <c r="E9" s="80">
        <v>0.13186473423879042</v>
      </c>
      <c r="F9" s="80">
        <v>8.8350942646153841E-2</v>
      </c>
      <c r="G9" s="80">
        <v>0.10497205213917525</v>
      </c>
    </row>
    <row r="10" spans="1:15" ht="15.75" customHeight="1" x14ac:dyDescent="0.25">
      <c r="B10" s="7" t="s">
        <v>122</v>
      </c>
      <c r="C10" s="81">
        <v>3.1486323999999996E-2</v>
      </c>
      <c r="D10" s="81">
        <v>3.1486323999999996E-2</v>
      </c>
      <c r="E10" s="81">
        <v>3.2448938000000004E-2</v>
      </c>
      <c r="F10" s="81">
        <v>1.1271192000000001E-2</v>
      </c>
      <c r="G10" s="81">
        <v>2.0818794866666667E-2</v>
      </c>
    </row>
    <row r="11" spans="1:15" ht="15.75" customHeight="1" x14ac:dyDescent="0.25">
      <c r="B11" s="7" t="s">
        <v>123</v>
      </c>
      <c r="C11" s="81">
        <v>1.7985134999999999E-2</v>
      </c>
      <c r="D11" s="81">
        <v>1.7985134999999999E-2</v>
      </c>
      <c r="E11" s="81">
        <v>3.0823060999999999E-2</v>
      </c>
      <c r="F11" s="81">
        <v>9.8405230000000003E-3</v>
      </c>
      <c r="G11" s="81">
        <v>9.4393901333333346E-3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0.77009803950000011</v>
      </c>
      <c r="D14" s="82">
        <v>0.75845489217399997</v>
      </c>
      <c r="E14" s="82">
        <v>0.75845489217399997</v>
      </c>
      <c r="F14" s="82">
        <v>0.60551019102899994</v>
      </c>
      <c r="G14" s="82">
        <v>0.60551019102899994</v>
      </c>
      <c r="H14" s="83">
        <v>0.53799999999999992</v>
      </c>
      <c r="I14" s="83">
        <v>0.60461221122112219</v>
      </c>
      <c r="J14" s="83">
        <v>0.57319141914191429</v>
      </c>
      <c r="K14" s="83">
        <v>0.5570049504950495</v>
      </c>
      <c r="L14" s="83">
        <v>0.48716572835799998</v>
      </c>
      <c r="M14" s="83">
        <v>0.37215691352199998</v>
      </c>
      <c r="N14" s="83">
        <v>0.35771765578850001</v>
      </c>
      <c r="O14" s="83">
        <v>0.46151397594999999</v>
      </c>
    </row>
    <row r="15" spans="1:15" ht="15.75" customHeight="1" x14ac:dyDescent="0.25">
      <c r="B15" s="16" t="s">
        <v>68</v>
      </c>
      <c r="C15" s="80">
        <f>iron_deficiency_anaemia*C14</f>
        <v>0.2665572847110742</v>
      </c>
      <c r="D15" s="80">
        <f t="shared" ref="D15:O15" si="0">iron_deficiency_anaemia*D14</f>
        <v>0.26252719298570815</v>
      </c>
      <c r="E15" s="80">
        <f t="shared" si="0"/>
        <v>0.26252719298570815</v>
      </c>
      <c r="F15" s="80">
        <f t="shared" si="0"/>
        <v>0.20958779805538522</v>
      </c>
      <c r="G15" s="80">
        <f t="shared" si="0"/>
        <v>0.20958779805538522</v>
      </c>
      <c r="H15" s="80">
        <f t="shared" si="0"/>
        <v>0.18622021069897543</v>
      </c>
      <c r="I15" s="80">
        <f t="shared" si="0"/>
        <v>0.20927697651444391</v>
      </c>
      <c r="J15" s="80">
        <f t="shared" si="0"/>
        <v>0.19840116513652792</v>
      </c>
      <c r="K15" s="80">
        <f t="shared" si="0"/>
        <v>0.1927984744266924</v>
      </c>
      <c r="L15" s="80">
        <f t="shared" si="0"/>
        <v>0.1686247297028747</v>
      </c>
      <c r="M15" s="80">
        <f t="shared" si="0"/>
        <v>0.12881624321402829</v>
      </c>
      <c r="N15" s="80">
        <f t="shared" si="0"/>
        <v>0.12381832199196663</v>
      </c>
      <c r="O15" s="80">
        <f t="shared" si="0"/>
        <v>0.15974578037533621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0.06</v>
      </c>
      <c r="D2" s="81">
        <v>0.06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0.245</v>
      </c>
      <c r="D3" s="81">
        <v>0.17899999999999999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0.156</v>
      </c>
      <c r="D4" s="81">
        <v>0.156</v>
      </c>
      <c r="E4" s="81">
        <v>0.21600000000000003</v>
      </c>
      <c r="F4" s="81">
        <v>0.58250000000000002</v>
      </c>
      <c r="G4" s="81">
        <v>0</v>
      </c>
    </row>
    <row r="5" spans="1:7" x14ac:dyDescent="0.25">
      <c r="B5" s="43" t="s">
        <v>169</v>
      </c>
      <c r="C5" s="80">
        <f>1-SUM(C2:C4)</f>
        <v>0.53900000000000003</v>
      </c>
      <c r="D5" s="80">
        <f>1-SUM(D2:D4)</f>
        <v>0.60499999999999998</v>
      </c>
      <c r="E5" s="80">
        <f>1-SUM(E2:E4)</f>
        <v>0.78400000000000003</v>
      </c>
      <c r="F5" s="80">
        <f>1-SUM(F2:F4)</f>
        <v>0.41749999999999998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0.19440000000000002</v>
      </c>
      <c r="D2" s="144">
        <v>0.18903999999999999</v>
      </c>
      <c r="E2" s="144">
        <v>0.18385000000000001</v>
      </c>
      <c r="F2" s="144">
        <v>0.17881</v>
      </c>
      <c r="G2" s="144">
        <v>0.1739</v>
      </c>
      <c r="H2" s="144">
        <v>0.16925000000000001</v>
      </c>
      <c r="I2" s="144">
        <v>0.16472000000000001</v>
      </c>
      <c r="J2" s="144">
        <v>0.16031999999999999</v>
      </c>
      <c r="K2" s="144">
        <v>0.15603999999999998</v>
      </c>
      <c r="L2" s="144">
        <v>0.15188000000000001</v>
      </c>
      <c r="M2" s="144">
        <v>0.14784</v>
      </c>
      <c r="N2" s="144">
        <v>0.14391999999999999</v>
      </c>
      <c r="O2" s="144">
        <v>0.14011999999999999</v>
      </c>
      <c r="P2" s="144">
        <v>0.13643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2.5600000000000001E-2</v>
      </c>
      <c r="D4" s="144">
        <v>2.5390000000000003E-2</v>
      </c>
      <c r="E4" s="144">
        <v>2.5190000000000001E-2</v>
      </c>
      <c r="F4" s="144">
        <v>2.5000000000000001E-2</v>
      </c>
      <c r="G4" s="144">
        <v>2.4820000000000002E-2</v>
      </c>
      <c r="H4" s="144">
        <v>2.4620000000000003E-2</v>
      </c>
      <c r="I4" s="144">
        <v>2.4420000000000001E-2</v>
      </c>
      <c r="J4" s="144">
        <v>2.4239999999999998E-2</v>
      </c>
      <c r="K4" s="144">
        <v>2.4060000000000002E-2</v>
      </c>
      <c r="L4" s="144">
        <v>2.3889999999999998E-2</v>
      </c>
      <c r="M4" s="144">
        <v>2.3730000000000001E-2</v>
      </c>
      <c r="N4" s="144">
        <v>2.3570000000000001E-2</v>
      </c>
      <c r="O4" s="144">
        <v>2.342E-2</v>
      </c>
      <c r="P4" s="144">
        <v>2.3279999999999999E-2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0.22024284523687257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0.19816763469347198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0.14191220298079099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0.06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0.46033333333333332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35.249000000000002</v>
      </c>
      <c r="D13" s="143">
        <v>34.335000000000001</v>
      </c>
      <c r="E13" s="143">
        <v>33.482999999999997</v>
      </c>
      <c r="F13" s="143">
        <v>32.677999999999997</v>
      </c>
      <c r="G13" s="143">
        <v>31.911999999999999</v>
      </c>
      <c r="H13" s="143">
        <v>31.193000000000001</v>
      </c>
      <c r="I13" s="143">
        <v>30.506</v>
      </c>
      <c r="J13" s="143">
        <v>29.856000000000002</v>
      </c>
      <c r="K13" s="143">
        <v>29.216000000000001</v>
      </c>
      <c r="L13" s="143">
        <v>28.616</v>
      </c>
      <c r="M13" s="143">
        <v>27.315999999999999</v>
      </c>
      <c r="N13" s="143">
        <v>26.693999999999999</v>
      </c>
      <c r="O13" s="143">
        <v>26.114999999999998</v>
      </c>
      <c r="P13" s="143">
        <v>25.588000000000001</v>
      </c>
    </row>
    <row r="14" spans="1:16" x14ac:dyDescent="0.25">
      <c r="B14" s="16" t="s">
        <v>170</v>
      </c>
      <c r="C14" s="143">
        <f>maternal_mortality</f>
        <v>2.91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0.33399999999999996</v>
      </c>
      <c r="E2" s="92">
        <f>food_insecure</f>
        <v>0.33399999999999996</v>
      </c>
      <c r="F2" s="92">
        <f>food_insecure</f>
        <v>0.33399999999999996</v>
      </c>
      <c r="G2" s="92">
        <f>food_insecure</f>
        <v>0.33399999999999996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0.33399999999999996</v>
      </c>
      <c r="F5" s="92">
        <f>food_insecure</f>
        <v>0.33399999999999996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0.13091492445519232</v>
      </c>
      <c r="D7" s="92">
        <f>diarrhoea_1_5mo/26</f>
        <v>0.13941987952153845</v>
      </c>
      <c r="E7" s="92">
        <f>diarrhoea_6_11mo/26</f>
        <v>0.13941987952153845</v>
      </c>
      <c r="F7" s="92">
        <f>diarrhoea_12_23mo/26</f>
        <v>0.10667949274076924</v>
      </c>
      <c r="G7" s="92">
        <f>diarrhoea_24_59mo/26</f>
        <v>0.10667949274076924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0.33399999999999996</v>
      </c>
      <c r="F8" s="92">
        <f>food_insecure</f>
        <v>0.33399999999999996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0.67700000000000005</v>
      </c>
      <c r="E9" s="92">
        <f>IF(ISBLANK(comm_deliv), frac_children_health_facility,1)</f>
        <v>0.67700000000000005</v>
      </c>
      <c r="F9" s="92">
        <f>IF(ISBLANK(comm_deliv), frac_children_health_facility,1)</f>
        <v>0.67700000000000005</v>
      </c>
      <c r="G9" s="92">
        <f>IF(ISBLANK(comm_deliv), frac_children_health_facility,1)</f>
        <v>0.67700000000000005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0.13091492445519232</v>
      </c>
      <c r="D11" s="92">
        <f>diarrhoea_1_5mo/26</f>
        <v>0.13941987952153845</v>
      </c>
      <c r="E11" s="92">
        <f>diarrhoea_6_11mo/26</f>
        <v>0.13941987952153845</v>
      </c>
      <c r="F11" s="92">
        <f>diarrhoea_12_23mo/26</f>
        <v>0.10667949274076924</v>
      </c>
      <c r="G11" s="92">
        <f>diarrhoea_24_59mo/26</f>
        <v>0.10667949274076924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0.33399999999999996</v>
      </c>
      <c r="I14" s="92">
        <f>food_insecure</f>
        <v>0.33399999999999996</v>
      </c>
      <c r="J14" s="92">
        <f>food_insecure</f>
        <v>0.33399999999999996</v>
      </c>
      <c r="K14" s="92">
        <f>food_insecure</f>
        <v>0.33399999999999996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0.77599999999999991</v>
      </c>
      <c r="I17" s="92">
        <f>frac_PW_health_facility</f>
        <v>0.77599999999999991</v>
      </c>
      <c r="J17" s="92">
        <f>frac_PW_health_facility</f>
        <v>0.77599999999999991</v>
      </c>
      <c r="K17" s="92">
        <f>frac_PW_health_facility</f>
        <v>0.77599999999999991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0.96</v>
      </c>
      <c r="I18" s="92">
        <f>frac_malaria_risk</f>
        <v>0.96</v>
      </c>
      <c r="J18" s="92">
        <f>frac_malaria_risk</f>
        <v>0.96</v>
      </c>
      <c r="K18" s="92">
        <f>frac_malaria_risk</f>
        <v>0.96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0.66299999999999992</v>
      </c>
      <c r="M23" s="92">
        <f>famplan_unmet_need</f>
        <v>0.66299999999999992</v>
      </c>
      <c r="N23" s="92">
        <f>famplan_unmet_need</f>
        <v>0.66299999999999992</v>
      </c>
      <c r="O23" s="92">
        <f>famplan_unmet_need</f>
        <v>0.66299999999999992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0.37751575730248799</v>
      </c>
      <c r="M24" s="92">
        <f>(1-food_insecure)*(0.49)+food_insecure*(0.7)</f>
        <v>0.56013999999999997</v>
      </c>
      <c r="N24" s="92">
        <f>(1-food_insecure)*(0.49)+food_insecure*(0.7)</f>
        <v>0.56013999999999997</v>
      </c>
      <c r="O24" s="92">
        <f>(1-food_insecure)*(0.49)+food_insecure*(0.7)</f>
        <v>0.56013999999999997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0.16179246741535197</v>
      </c>
      <c r="M25" s="92">
        <f>(1-food_insecure)*(0.21)+food_insecure*(0.3)</f>
        <v>0.24006</v>
      </c>
      <c r="N25" s="92">
        <f>(1-food_insecure)*(0.21)+food_insecure*(0.3)</f>
        <v>0.24006</v>
      </c>
      <c r="O25" s="92">
        <f>(1-food_insecure)*(0.21)+food_insecure*(0.3)</f>
        <v>0.24006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0.13465856448215999</v>
      </c>
      <c r="M26" s="92">
        <f>(1-food_insecure)*(0.3)</f>
        <v>0.19980000000000001</v>
      </c>
      <c r="N26" s="92">
        <f>(1-food_insecure)*(0.3)</f>
        <v>0.19980000000000001</v>
      </c>
      <c r="O26" s="92">
        <f>(1-food_insecure)*(0.3)</f>
        <v>0.19980000000000001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0.32603321080000003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0.96</v>
      </c>
      <c r="D33" s="92">
        <f t="shared" si="3"/>
        <v>0.96</v>
      </c>
      <c r="E33" s="92">
        <f t="shared" si="3"/>
        <v>0.96</v>
      </c>
      <c r="F33" s="92">
        <f t="shared" si="3"/>
        <v>0.96</v>
      </c>
      <c r="G33" s="92">
        <f t="shared" si="3"/>
        <v>0.96</v>
      </c>
      <c r="H33" s="92">
        <f t="shared" si="3"/>
        <v>0.96</v>
      </c>
      <c r="I33" s="92">
        <f t="shared" si="3"/>
        <v>0.96</v>
      </c>
      <c r="J33" s="92">
        <f t="shared" si="3"/>
        <v>0.96</v>
      </c>
      <c r="K33" s="92">
        <f t="shared" si="3"/>
        <v>0.96</v>
      </c>
      <c r="L33" s="92">
        <f t="shared" si="3"/>
        <v>0.96</v>
      </c>
      <c r="M33" s="92">
        <f t="shared" si="3"/>
        <v>0.96</v>
      </c>
      <c r="N33" s="92">
        <f t="shared" si="3"/>
        <v>0.96</v>
      </c>
      <c r="O33" s="92">
        <f t="shared" si="3"/>
        <v>0.96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2020-03-24T06:49:11Z</dcterms:modified>
</cp:coreProperties>
</file>