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ominic.delport\Documents\Optima Nutrition Work\SDG project data\Modelling\Optima\inputs\"/>
    </mc:Choice>
  </mc:AlternateContent>
  <xr:revisionPtr revIDLastSave="0" documentId="8_{5ECE7815-BA55-4761-9A4C-4B91ABC9487B}" xr6:coauthVersionLast="45" xr6:coauthVersionMax="45" xr10:uidLastSave="{00000000-0000-0000-0000-000000000000}"/>
  <bookViews>
    <workbookView xWindow="-110" yWindow="-110" windowWidth="19420" windowHeight="10420" tabRatio="894" firstSheet="2" activeTab="1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state="hidden" r:id="rId7"/>
    <sheet name="Treatment of SAM" sheetId="60" state="hidden" r:id="rId8"/>
    <sheet name="Programs target population" sheetId="21" state="hidden" r:id="rId9"/>
    <sheet name="Programs cost and coverage" sheetId="56" r:id="rId10"/>
    <sheet name="IYCF cost" sheetId="57" state="hidden" r:id="rId11"/>
    <sheet name="Program dependencies" sheetId="58" r:id="rId12"/>
    <sheet name="Reference programs" sheetId="59" state="hidden" r:id="rId13"/>
    <sheet name="Incidence of conditions" sheetId="7" state="hidden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state="hidden" r:id="rId26"/>
    <sheet name="Programs for children" sheetId="72" state="hidden" r:id="rId27"/>
    <sheet name="Programs for PW" sheetId="73" state="hidden" r:id="rId28"/>
  </sheet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C11" i="51"/>
  <c r="C10" i="51"/>
  <c r="C14" i="51"/>
  <c r="C15" i="5"/>
  <c r="E31" i="2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/>
  <c r="G16" i="2"/>
  <c r="H16" i="2"/>
  <c r="I16" i="2" s="1"/>
  <c r="G17" i="2"/>
  <c r="H17" i="2"/>
  <c r="G18" i="2"/>
  <c r="H18" i="2"/>
  <c r="G19" i="2"/>
  <c r="H19" i="2"/>
  <c r="I19" i="2"/>
  <c r="G20" i="2"/>
  <c r="H20" i="2"/>
  <c r="G21" i="2"/>
  <c r="H21" i="2"/>
  <c r="I21" i="2"/>
  <c r="G22" i="2"/>
  <c r="H22" i="2"/>
  <c r="I22" i="2" s="1"/>
  <c r="G23" i="2"/>
  <c r="H23" i="2"/>
  <c r="I23" i="2" s="1"/>
  <c r="G24" i="2"/>
  <c r="H24" i="2"/>
  <c r="G25" i="2"/>
  <c r="H25" i="2"/>
  <c r="I25" i="2" s="1"/>
  <c r="G26" i="2"/>
  <c r="H26" i="2"/>
  <c r="I26" i="2" s="1"/>
  <c r="G27" i="2"/>
  <c r="H27" i="2"/>
  <c r="I27" i="2" s="1"/>
  <c r="G28" i="2"/>
  <c r="H28" i="2"/>
  <c r="I28" i="2" s="1"/>
  <c r="G29" i="2"/>
  <c r="H29" i="2"/>
  <c r="G30" i="2"/>
  <c r="H30" i="2"/>
  <c r="I30" i="2" s="1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I36" i="2" s="1"/>
  <c r="G37" i="2"/>
  <c r="H37" i="2"/>
  <c r="I37" i="2" s="1"/>
  <c r="G38" i="2"/>
  <c r="H38" i="2"/>
  <c r="I38" i="2" s="1"/>
  <c r="G39" i="2"/>
  <c r="H39" i="2"/>
  <c r="I39" i="2" s="1"/>
  <c r="G40" i="2"/>
  <c r="H40" i="2"/>
  <c r="I40" i="2" s="1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C7" i="51" s="1"/>
  <c r="J15" i="5"/>
  <c r="I15" i="5"/>
  <c r="H15" i="5"/>
  <c r="G15" i="5"/>
  <c r="F15" i="5"/>
  <c r="E15" i="5"/>
  <c r="D15" i="5"/>
  <c r="G5" i="50"/>
  <c r="F5" i="50"/>
  <c r="E5" i="50"/>
  <c r="D5" i="50"/>
  <c r="C5" i="50"/>
  <c r="C48" i="1"/>
  <c r="H3" i="2"/>
  <c r="H4" i="2"/>
  <c r="G4" i="2"/>
  <c r="H5" i="2"/>
  <c r="H6" i="2"/>
  <c r="H7" i="2"/>
  <c r="H8" i="2"/>
  <c r="H9" i="2"/>
  <c r="H10" i="2"/>
  <c r="H11" i="2"/>
  <c r="H12" i="2"/>
  <c r="H13" i="2"/>
  <c r="H14" i="2"/>
  <c r="H15" i="2"/>
  <c r="C20" i="1"/>
  <c r="G3" i="2"/>
  <c r="G5" i="2"/>
  <c r="G6" i="2"/>
  <c r="G7" i="2"/>
  <c r="G8" i="2"/>
  <c r="G9" i="2"/>
  <c r="G10" i="2"/>
  <c r="G11" i="2"/>
  <c r="G12" i="2"/>
  <c r="G13" i="2"/>
  <c r="I13" i="2" s="1"/>
  <c r="G14" i="2"/>
  <c r="G15" i="2"/>
  <c r="G2" i="2"/>
  <c r="I24" i="2"/>
  <c r="I18" i="2"/>
  <c r="I20" i="2"/>
  <c r="I29" i="2"/>
  <c r="A3" i="2"/>
  <c r="A24" i="2"/>
  <c r="A18" i="2"/>
  <c r="A36" i="2"/>
  <c r="A40" i="2"/>
  <c r="A22" i="2"/>
  <c r="A25" i="2"/>
  <c r="A29" i="2"/>
  <c r="A27" i="2"/>
  <c r="A31" i="2"/>
  <c r="A20" i="2"/>
  <c r="A16" i="2"/>
  <c r="I17" i="2"/>
  <c r="A19" i="2"/>
  <c r="A35" i="2"/>
  <c r="A28" i="2"/>
  <c r="A17" i="2"/>
  <c r="A33" i="2"/>
  <c r="A30" i="2"/>
  <c r="A26" i="2"/>
  <c r="A23" i="2"/>
  <c r="A39" i="2"/>
  <c r="A32" i="2"/>
  <c r="A21" i="2"/>
  <c r="A37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8" i="2"/>
  <c r="C6" i="51" l="1"/>
  <c r="I15" i="2"/>
  <c r="I14" i="2"/>
  <c r="I12" i="2"/>
  <c r="I11" i="2"/>
  <c r="I10" i="2"/>
  <c r="I9" i="2"/>
  <c r="I8" i="2"/>
  <c r="I7" i="2"/>
  <c r="I6" i="2"/>
  <c r="I5" i="2"/>
  <c r="I4" i="2"/>
  <c r="I3" i="2"/>
  <c r="I2" i="2"/>
  <c r="C8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7" authorId="0" shapeId="0" xr:uid="{D7D6A6EE-5BA0-4223-9698-94093E5F540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8" authorId="0" shapeId="0" xr:uid="{7A77DC89-CB03-48DA-BE40-303580CDC02C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9" authorId="0" shapeId="0" xr:uid="{24FE202E-A8D6-4FF0-9102-D9AF346469BB}">
      <text>
        <r>
          <rPr>
            <sz val="9"/>
            <color indexed="81"/>
            <rFont val="Tahoma"/>
            <charset val="1"/>
          </rPr>
          <t>Source: LiST [Percentage of women exposed]</t>
        </r>
      </text>
    </comment>
    <comment ref="C10" authorId="0" shapeId="0" xr:uid="{3ACD8D3E-BFF5-4B4A-BF4A-574C38F228BF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11" authorId="0" shapeId="0" xr:uid="{FF7EBC24-E7CB-4815-B631-944F276C70B5}">
      <text>
        <r>
          <rPr>
            <sz val="9"/>
            <color indexed="81"/>
            <rFont val="Tahoma"/>
            <charset val="1"/>
          </rPr>
          <t>Source: WHO Global Health Observatory (Country level)</t>
        </r>
      </text>
    </comment>
    <comment ref="C12" authorId="0" shapeId="0" xr:uid="{9C6B1CF3-AAE8-45BE-BC8F-3F16311D4600}">
      <text>
        <r>
          <rPr>
            <sz val="9"/>
            <color indexed="81"/>
            <rFont val="Tahoma"/>
            <charset val="1"/>
          </rPr>
          <t>Source: Old WHO Global Health Observatory data [Filler data]</t>
        </r>
      </text>
    </comment>
    <comment ref="C13" authorId="0" shapeId="0" xr:uid="{03626499-63E1-4F90-9CC0-66EBD305B799}">
      <text>
        <r>
          <rPr>
            <sz val="9"/>
            <color indexed="81"/>
            <rFont val="Tahoma"/>
            <charset val="1"/>
          </rPr>
          <t>Source: WHO Global Health Observatory (Region level)</t>
        </r>
      </text>
    </comment>
    <comment ref="C16" authorId="0" shapeId="0" xr:uid="{E3BF9D30-0EE2-4F59-B674-EC42F1D429AA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7" authorId="0" shapeId="0" xr:uid="{11D8955F-558D-4A9C-83DC-E68981800F76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8" authorId="0" shapeId="0" xr:uid="{7011F173-7983-44FA-8DBE-DBEBF3D0D2B2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9" authorId="0" shapeId="0" xr:uid="{BDE717D9-BAA1-4213-9971-18A7EBE8AC43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23" authorId="0" shapeId="0" xr:uid="{80FA2AE3-C1A1-45D7-AEC3-AA6327C84D9C}">
      <text>
        <r>
          <rPr>
            <sz val="9"/>
            <color indexed="81"/>
            <rFont val="Tahoma"/>
            <charset val="1"/>
          </rPr>
          <t>Source: LiST</t>
        </r>
      </text>
    </comment>
    <comment ref="C24" authorId="0" shapeId="0" xr:uid="{562FC086-230C-40FF-A19A-9DDEAB0EDD2F}">
      <text>
        <r>
          <rPr>
            <sz val="9"/>
            <color indexed="81"/>
            <rFont val="Tahoma"/>
            <charset val="1"/>
          </rPr>
          <t>Source: LiST</t>
        </r>
      </text>
    </comment>
    <comment ref="C25" authorId="0" shapeId="0" xr:uid="{11748486-538A-4459-8489-9A20F789BA9D}">
      <text>
        <r>
          <rPr>
            <sz val="9"/>
            <color indexed="81"/>
            <rFont val="Tahoma"/>
            <charset val="1"/>
          </rPr>
          <t>Source: LiST</t>
        </r>
      </text>
    </comment>
    <comment ref="C26" authorId="0" shapeId="0" xr:uid="{33AE109B-1773-4066-98E4-DAE500E32A71}">
      <text>
        <r>
          <rPr>
            <sz val="9"/>
            <color indexed="81"/>
            <rFont val="Tahoma"/>
            <charset val="1"/>
          </rPr>
          <t>Source: LiST</t>
        </r>
      </text>
    </comment>
    <comment ref="C29" authorId="0" shapeId="0" xr:uid="{39B9C109-7011-47FC-A00A-429E7EA4D283}">
      <text>
        <r>
          <rPr>
            <sz val="9"/>
            <color indexed="81"/>
            <rFont val="Tahoma"/>
            <charset val="1"/>
          </rPr>
          <t>Source: LiST</t>
        </r>
      </text>
    </comment>
    <comment ref="C30" authorId="0" shapeId="0" xr:uid="{5286AF2D-816E-44DF-B9A1-C42304655566}">
      <text>
        <r>
          <rPr>
            <sz val="9"/>
            <color indexed="81"/>
            <rFont val="Tahoma"/>
            <charset val="1"/>
          </rPr>
          <t>Source: LiST</t>
        </r>
      </text>
    </comment>
    <comment ref="C31" authorId="0" shapeId="0" xr:uid="{63BC98B9-ABBC-449A-B520-CE60E3F25FA8}">
      <text>
        <r>
          <rPr>
            <sz val="9"/>
            <color indexed="81"/>
            <rFont val="Tahoma"/>
            <charset val="1"/>
          </rPr>
          <t>Source: LiST</t>
        </r>
      </text>
    </comment>
    <comment ref="C32" authorId="0" shapeId="0" xr:uid="{13663C9A-F22B-46E0-9168-A0CB64355527}">
      <text>
        <r>
          <rPr>
            <sz val="9"/>
            <color indexed="81"/>
            <rFont val="Tahoma"/>
            <charset val="1"/>
          </rPr>
          <t>Source: LiST</t>
        </r>
      </text>
    </comment>
    <comment ref="C37" authorId="0" shapeId="0" xr:uid="{EA59E0BE-A88F-43CC-B63E-CCA1B555A3B0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38" authorId="0" shapeId="0" xr:uid="{95C67176-13E7-4E25-B99C-A58AEBA5F762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39" authorId="0" shapeId="0" xr:uid="{47CE7962-5396-42AA-86C9-66FAE3B16AD6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40" authorId="0" shapeId="0" xr:uid="{E794499A-8857-4D1E-8DEF-1FC17A11C10A}">
      <text>
        <r>
          <rPr>
            <sz val="9"/>
            <color indexed="81"/>
            <rFont val="Tahoma"/>
            <charset val="1"/>
          </rPr>
          <t>Source: UNICEF Data (2015) (Country level)</t>
        </r>
      </text>
    </comment>
    <comment ref="C41" authorId="0" shapeId="0" xr:uid="{6C0BA531-7AA0-4B2B-BE03-053B3037D72E}">
      <text>
        <r>
          <rPr>
            <sz val="9"/>
            <color indexed="81"/>
            <rFont val="Tahoma"/>
            <charset val="1"/>
          </rPr>
          <t>Source: LiST</t>
        </r>
      </text>
    </comment>
    <comment ref="C42" authorId="0" shapeId="0" xr:uid="{41B07BD9-61AE-4B9F-9C57-FDB5EFA60DDF}">
      <text>
        <r>
          <rPr>
            <sz val="9"/>
            <color indexed="81"/>
            <rFont val="Tahoma"/>
            <charset val="1"/>
          </rPr>
          <t>Source: WHO Global Health Observatory (2015) (Region level)</t>
        </r>
      </text>
    </comment>
    <comment ref="C45" authorId="0" shapeId="0" xr:uid="{0E934EB9-C866-45F6-8E45-D074062D4295}">
      <text>
        <r>
          <rPr>
            <sz val="9"/>
            <color indexed="81"/>
            <rFont val="Tahoma"/>
            <charset val="1"/>
          </rPr>
          <t>Source: LiST</t>
        </r>
      </text>
    </comment>
    <comment ref="C46" authorId="0" shapeId="0" xr:uid="{C690CEBB-054E-4D77-B9DA-C2303B69C942}">
      <text>
        <r>
          <rPr>
            <sz val="9"/>
            <color indexed="81"/>
            <rFont val="Tahoma"/>
            <charset val="1"/>
          </rPr>
          <t>Source: LiST</t>
        </r>
      </text>
    </comment>
    <comment ref="C47" authorId="0" shapeId="0" xr:uid="{2CE0CB3E-18C5-4FF6-82F4-46C9892ADA29}">
      <text>
        <r>
          <rPr>
            <sz val="9"/>
            <color indexed="81"/>
            <rFont val="Tahoma"/>
            <charset val="1"/>
          </rPr>
          <t>Source: LiST</t>
        </r>
      </text>
    </comment>
    <comment ref="C51" authorId="0" shapeId="0" xr:uid="{096BCFFE-A92E-45D9-B129-0B50696E1B8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2" authorId="0" shapeId="0" xr:uid="{D0F1047F-FB56-413B-A1CE-CFDBCB8234B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3" authorId="0" shapeId="0" xr:uid="{4F0EC65C-BD78-41EA-8D1A-99E06E93EA4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4" authorId="0" shapeId="0" xr:uid="{ED48D019-FE6E-4CA4-9FAF-1339FD7D8AF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5" authorId="0" shapeId="0" xr:uid="{BC7DE930-73E0-466C-9461-9324E9A3CDC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8" authorId="0" shapeId="0" xr:uid="{70550EE5-F43C-4EE3-AD3E-F94FC2C9052E}">
      <text>
        <r>
          <rPr>
            <sz val="9"/>
            <color indexed="81"/>
            <rFont val="Tahoma"/>
            <charset val="1"/>
          </rPr>
          <t>Source: Global burden of childhood pneumonia and diarrhoea &lt;https://www.sciencedirect.com/science/article/pii/S0140673613602226?via%3Dihub&gt; (Region level)</t>
        </r>
      </text>
    </comment>
    <comment ref="C59" authorId="0" shapeId="0" xr:uid="{4E4B95C0-79F7-4316-B626-5A42A1D883C6}">
      <text>
        <r>
          <rPr>
            <sz val="9"/>
            <color indexed="81"/>
            <rFont val="Tahoma"/>
            <charset val="1"/>
          </rPr>
          <t>Source: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B2" authorId="0" shapeId="0" xr:uid="{B70E0945-6D9F-4309-9600-E08E539F993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2" authorId="0" shapeId="0" xr:uid="{6567F099-9492-4720-8EC8-FAA3B37A161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2" authorId="0" shapeId="0" xr:uid="{65A978B6-7D9A-4302-8B99-311A1B39DE2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2" authorId="0" shapeId="0" xr:uid="{27BDADEC-8F1A-4A84-8A8B-52BF590BCC5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2" authorId="0" shapeId="0" xr:uid="{FDE11BD0-ADA5-40E1-B86C-519D144E13D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3" authorId="0" shapeId="0" xr:uid="{E8C93C49-0F8E-4C84-B990-C425DB19F5B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3" authorId="0" shapeId="0" xr:uid="{CB766C28-F969-4178-BB0A-DE9743E77C2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3" authorId="0" shapeId="0" xr:uid="{14D82070-9A92-438A-A93A-2F7F7DABC23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3" authorId="0" shapeId="0" xr:uid="{F4A424C4-938A-4709-9164-E4B7740CCF5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3" authorId="0" shapeId="0" xr:uid="{0657F47E-1532-4CDC-BF61-6781DC59E3C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4" authorId="0" shapeId="0" xr:uid="{48FF171B-5DC8-4D8F-9644-501A111BB79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4" authorId="0" shapeId="0" xr:uid="{070C10D3-94C1-4227-81C5-0B014B925C4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4" authorId="0" shapeId="0" xr:uid="{6A766F5E-F451-458B-BDE5-11AF0778880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4" authorId="0" shapeId="0" xr:uid="{C84AF63F-DCB6-4A5C-9178-E2CF081D1FB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4" authorId="0" shapeId="0" xr:uid="{AA069488-3090-473B-9801-7F1DF96A7CC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5" authorId="0" shapeId="0" xr:uid="{5AC4E255-F3AD-4673-A35C-BABB7CD522D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5" authorId="0" shapeId="0" xr:uid="{C236F93B-D433-42B9-ABB4-76C393F1D0E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5" authorId="0" shapeId="0" xr:uid="{872B8FC9-3FCB-45BE-91B2-486086D4083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5" authorId="0" shapeId="0" xr:uid="{053FA752-41D6-4042-BB73-421BDE30955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5" authorId="0" shapeId="0" xr:uid="{98D3EDB7-808F-47D5-ADD0-DB087A1E907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6" authorId="0" shapeId="0" xr:uid="{C020DB26-F666-4742-8CF1-AF53478F385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6" authorId="0" shapeId="0" xr:uid="{1423CEC5-1B62-46FC-8C20-2345F95935A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6" authorId="0" shapeId="0" xr:uid="{4FDD2CE9-6D90-4290-B4F2-0E2A4CFAF8D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6" authorId="0" shapeId="0" xr:uid="{C01D055B-D40E-4A3E-B30F-88AE4584E6A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6" authorId="0" shapeId="0" xr:uid="{184E8414-5778-44D9-A4EB-4772209E3C3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7" authorId="0" shapeId="0" xr:uid="{1CA5E4FF-95A8-45FC-B953-705DF85D799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7" authorId="0" shapeId="0" xr:uid="{DB72D00F-3887-4ABF-8BEE-36F62738C88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7" authorId="0" shapeId="0" xr:uid="{BACF8BA2-BA37-443E-8182-D78320CEADF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7" authorId="0" shapeId="0" xr:uid="{3F4D5FA1-0D52-4142-ADB6-C6B84930939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7" authorId="0" shapeId="0" xr:uid="{2F637BE2-2BAD-40D9-9D10-638890269F4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8" authorId="0" shapeId="0" xr:uid="{606D6D36-5CDB-405D-B45A-EA4905EAAB5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8" authorId="0" shapeId="0" xr:uid="{D3B54AF1-D764-4181-A21F-F97CAE5B69D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8" authorId="0" shapeId="0" xr:uid="{65755C02-3634-4BCF-A730-79AB2E58159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8" authorId="0" shapeId="0" xr:uid="{9133AC1A-6DAC-4C3F-96DE-4F49F080D15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8" authorId="0" shapeId="0" xr:uid="{B902DA93-53A3-4193-92F3-3EB7AF4531C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9" authorId="0" shapeId="0" xr:uid="{DCF087AA-19ED-46A0-AB3F-BC9B4A80850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9" authorId="0" shapeId="0" xr:uid="{F4BE8B48-1D6A-4AA3-9132-58AD3AE3A05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9" authorId="0" shapeId="0" xr:uid="{1DB1462D-E231-4773-8C0B-6D22FC4B20C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9" authorId="0" shapeId="0" xr:uid="{2EE4C991-8CAF-4C05-B057-C4C31017781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9" authorId="0" shapeId="0" xr:uid="{9E734994-67D8-42FA-81B1-9057B0CBE62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0" authorId="0" shapeId="0" xr:uid="{E90A9CD9-F0C9-4E33-8602-3485C25798A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0" authorId="0" shapeId="0" xr:uid="{26C1B16C-062C-4F53-88A1-EC1DCD5B095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0" authorId="0" shapeId="0" xr:uid="{30B25DE0-E8BB-481F-AA17-232DB376067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0" authorId="0" shapeId="0" xr:uid="{CE329DD2-6ADB-449A-B687-FDAAB00C239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0" authorId="0" shapeId="0" xr:uid="{F31794AB-2FBA-492F-9208-44CEAA2DAFA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1" authorId="0" shapeId="0" xr:uid="{C945BBCB-BE2A-4D64-926E-212ED7AFC98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1" authorId="0" shapeId="0" xr:uid="{97127A6C-D59F-4FB2-B58B-57CB05F427C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1" authorId="0" shapeId="0" xr:uid="{EFAA6A67-0B9D-482D-9C43-9F1C78F4B69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1" authorId="0" shapeId="0" xr:uid="{A4CF21EC-2933-46EE-81F5-AC7377C20BE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1" authorId="0" shapeId="0" xr:uid="{7196941C-FD97-419F-97C2-85D95C4219A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2" authorId="0" shapeId="0" xr:uid="{64EB8D7D-1DBD-4D71-8ABD-923BEC06A7A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2" authorId="0" shapeId="0" xr:uid="{6E0DC6B7-311C-4215-88E4-CE89BFE3408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2" authorId="0" shapeId="0" xr:uid="{623B7DB7-80D9-41DE-8836-1772933D66C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2" authorId="0" shapeId="0" xr:uid="{01E89365-91AE-4FF4-9F6E-36EB05AE9CE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2" authorId="0" shapeId="0" xr:uid="{21D7A6E1-1D39-40F3-BEEE-D533E18EF28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3" authorId="0" shapeId="0" xr:uid="{85207C78-9E3F-4A68-B74C-AC7E9E22C1B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3" authorId="0" shapeId="0" xr:uid="{ADEA9762-0AF5-43DD-A85D-8A6B3D2E9A7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3" authorId="0" shapeId="0" xr:uid="{E0693BF5-6A4B-4448-9E9B-F7CB3EAC143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3" authorId="0" shapeId="0" xr:uid="{F847950B-A09D-45A2-838A-4619819D9CE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3" authorId="0" shapeId="0" xr:uid="{D56DA8F4-E185-46A0-86EE-2E09B9D6F69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4" authorId="0" shapeId="0" xr:uid="{0AF7344D-DDFD-48B3-BF44-4441075305F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4" authorId="0" shapeId="0" xr:uid="{D747E19B-C013-4209-B55C-73AA7826FB6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4" authorId="0" shapeId="0" xr:uid="{2EB3E091-9CC5-4792-8642-52A51E1E12A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4" authorId="0" shapeId="0" xr:uid="{CF70CB54-396B-4C60-8B68-3D4D2302BF1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4" authorId="0" shapeId="0" xr:uid="{D1798617-37EA-4BAD-B9BC-C48B441C80E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5" authorId="0" shapeId="0" xr:uid="{8F406A4C-8A98-4DC6-89A2-978F822EEA0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5" authorId="0" shapeId="0" xr:uid="{BC4A969C-7323-48B0-96F2-1DA52C6F92C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5" authorId="0" shapeId="0" xr:uid="{19D3BA64-61F5-4311-81C2-27F38CFBBF0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5" authorId="0" shapeId="0" xr:uid="{431A6C50-1CDE-4CBD-A617-5DA8772AD8D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5" authorId="0" shapeId="0" xr:uid="{CDC41A19-D51E-46E3-8B69-D3DD78F2A54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3" authorId="0" shapeId="0" xr:uid="{14DF42E8-DBCA-46BC-9ED5-A813DFD93F3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4" authorId="0" shapeId="0" xr:uid="{26CA227D-8813-4EAD-BE9A-6009B9B419B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" authorId="0" shapeId="0" xr:uid="{2C018285-5DE3-49B9-9E3B-BD99BAE2A0C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6" authorId="0" shapeId="0" xr:uid="{C0E37920-29A7-4C61-86B9-7F8AF73904E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7" authorId="0" shapeId="0" xr:uid="{55173F33-B9DA-46B5-BF57-42EB66629C0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8" authorId="0" shapeId="0" xr:uid="{D0190BB0-00E2-4663-A3BC-9CC2EBF6430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9" authorId="0" shapeId="0" xr:uid="{CCC4D621-E808-49AC-91AB-0BAA732A53F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0" authorId="0" shapeId="0" xr:uid="{FEFD4078-120D-45F5-A242-AD21567E393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4" authorId="0" shapeId="0" xr:uid="{567CF519-1F0B-49EE-B89D-171F94322763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4" authorId="0" shapeId="0" xr:uid="{612815EF-42DD-4CAB-8822-52675BC93448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4" authorId="0" shapeId="0" xr:uid="{E625EBDC-54BC-45AC-8E1A-DFCF5D6002A8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4" authorId="0" shapeId="0" xr:uid="{37EFC358-587E-47A3-8071-76D6A7A14753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5" authorId="0" shapeId="0" xr:uid="{920CFEAA-2274-40BD-B5D3-0C5C8F097009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5" authorId="0" shapeId="0" xr:uid="{B5AD9B6E-0ED5-4661-9B05-EF2D13F8A569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5" authorId="0" shapeId="0" xr:uid="{836C9DE7-2EA4-4A1F-A6C5-A6F475EBC88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5" authorId="0" shapeId="0" xr:uid="{B9B3F8FC-A6ED-4F86-A072-DB0B4C2DB3E8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6" authorId="0" shapeId="0" xr:uid="{5E08EFBA-72B2-4F04-8088-9BCC9791C364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6" authorId="0" shapeId="0" xr:uid="{3CADBFB5-5105-48F8-AF10-F12A41A361FE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6" authorId="0" shapeId="0" xr:uid="{0EAD1DBC-AFD3-4AF6-B5CE-66B479520AB5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6" authorId="0" shapeId="0" xr:uid="{029498B0-1124-48B9-94E6-10BDFAD7B785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7" authorId="0" shapeId="0" xr:uid="{D7B53A3F-4C60-4D96-8AB2-CB41AA93CF67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7" authorId="0" shapeId="0" xr:uid="{9AA5B748-BD22-442C-B541-7D3106B90671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7" authorId="0" shapeId="0" xr:uid="{F9912B00-0EBF-4406-9352-4590F61F487C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7" authorId="0" shapeId="0" xr:uid="{17D564AA-782F-429A-953C-83FF10CE13A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8" authorId="0" shapeId="0" xr:uid="{C0E0B17E-D76A-4785-B3FD-A841107CC70D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8" authorId="0" shapeId="0" xr:uid="{8D3A3764-5103-4ED6-AE00-C8C29F0668FA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8" authorId="0" shapeId="0" xr:uid="{8204D087-222A-485C-BBDA-3A876E1990B6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8" authorId="0" shapeId="0" xr:uid="{66F76A2B-BA57-41D2-9CB3-C251EC7E422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9" authorId="0" shapeId="0" xr:uid="{54A83199-1B99-4F16-9D1F-EEB54A9B5CCD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9" authorId="0" shapeId="0" xr:uid="{8B43A719-2B47-40A0-9CEF-6434ACC2BC67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9" authorId="0" shapeId="0" xr:uid="{B85A7E53-81C8-4BD5-8C42-77F5BCC3B412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9" authorId="0" shapeId="0" xr:uid="{4C3C3813-F4FB-4C72-8E82-723F58FE278C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0" authorId="0" shapeId="0" xr:uid="{D3086AB8-E26E-46F1-8900-778828940C53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0" authorId="0" shapeId="0" xr:uid="{0FC06C11-F971-43C3-941D-089AABF34F5F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0" authorId="0" shapeId="0" xr:uid="{75A4A738-9F86-4E4D-9056-D0785D9E218E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0" authorId="0" shapeId="0" xr:uid="{92F44A23-FB3D-4B12-B25F-2C271927EEE4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1" authorId="0" shapeId="0" xr:uid="{E1716757-5415-4BF7-9225-941FFF2AEFFC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1" authorId="0" shapeId="0" xr:uid="{25BDB834-2A8A-46F5-AD7C-687AB061254E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1" authorId="0" shapeId="0" xr:uid="{75EE5F03-0EDF-40FD-8E17-5F7B2895F71E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1" authorId="0" shapeId="0" xr:uid="{E298BC82-6CA1-44D5-8DE6-53595B59F580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2" authorId="0" shapeId="0" xr:uid="{E21806AD-818B-4184-99F5-CA43ACD77C5F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2" authorId="0" shapeId="0" xr:uid="{4B8B2B3D-2AB6-463B-BFC4-8FCA43943508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2" authorId="0" shapeId="0" xr:uid="{627D4DD0-84DA-4F6B-8E40-2A44E206D5A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2" authorId="0" shapeId="0" xr:uid="{1C9B0B1F-F241-4183-9F84-67A1446E5035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6" authorId="0" shapeId="0" xr:uid="{16B510D2-7093-4DA3-A424-7609647162A7}">
      <text>
        <r>
          <rPr>
            <sz val="9"/>
            <color indexed="81"/>
            <rFont val="Tahoma"/>
            <charset val="1"/>
          </rPr>
          <t>Source: LiST</t>
        </r>
      </text>
    </comment>
    <comment ref="C27" authorId="0" shapeId="0" xr:uid="{65CF5E2E-F597-4BA1-8995-2FAB45F66C94}">
      <text>
        <r>
          <rPr>
            <sz val="9"/>
            <color indexed="81"/>
            <rFont val="Tahoma"/>
            <charset val="1"/>
          </rPr>
          <t>Source: LiST</t>
        </r>
      </text>
    </comment>
    <comment ref="C28" authorId="0" shapeId="0" xr:uid="{5D6A08EE-42D3-4032-A0E3-15C149D72798}">
      <text>
        <r>
          <rPr>
            <sz val="9"/>
            <color indexed="81"/>
            <rFont val="Tahoma"/>
            <charset val="1"/>
          </rPr>
          <t>Source: LiST</t>
        </r>
      </text>
    </comment>
    <comment ref="C29" authorId="0" shapeId="0" xr:uid="{72A524EF-3BF8-4B8F-99CA-68C2547440F4}">
      <text>
        <r>
          <rPr>
            <sz val="9"/>
            <color indexed="81"/>
            <rFont val="Tahoma"/>
            <charset val="1"/>
          </rPr>
          <t>Source: LiST</t>
        </r>
      </text>
    </comment>
    <comment ref="C30" authorId="0" shapeId="0" xr:uid="{FF3288D5-825E-4C8B-8989-7FE612688BA7}">
      <text>
        <r>
          <rPr>
            <sz val="9"/>
            <color indexed="81"/>
            <rFont val="Tahoma"/>
            <charset val="1"/>
          </rPr>
          <t>Source: LiST</t>
        </r>
      </text>
    </comment>
    <comment ref="C31" authorId="0" shapeId="0" xr:uid="{9BEA1A89-5E4B-48B9-899B-DDBB01D9B889}">
      <text>
        <r>
          <rPr>
            <sz val="9"/>
            <color indexed="81"/>
            <rFont val="Tahoma"/>
            <charset val="1"/>
          </rPr>
          <t>Source: LiST</t>
        </r>
      </text>
    </comment>
    <comment ref="C32" authorId="0" shapeId="0" xr:uid="{8ADDB3E7-C3D3-4C1E-88A2-C4346C504C96}">
      <text>
        <r>
          <rPr>
            <sz val="9"/>
            <color indexed="81"/>
            <rFont val="Tahoma"/>
            <charset val="1"/>
          </rPr>
          <t>Source: LiST</t>
        </r>
      </text>
    </comment>
    <comment ref="C33" authorId="0" shapeId="0" xr:uid="{63B8A0A1-D12B-40EF-BB35-B6134F6C9DAF}">
      <text>
        <r>
          <rPr>
            <sz val="9"/>
            <color indexed="81"/>
            <rFont val="Tahoma"/>
            <charset val="1"/>
          </rPr>
          <t>Source: LiST</t>
        </r>
      </text>
    </comment>
    <comment ref="C34" authorId="0" shapeId="0" xr:uid="{ABC256E4-9161-44F0-88F5-F5A6CC4A0A44}">
      <text>
        <r>
          <rPr>
            <sz val="9"/>
            <color indexed="81"/>
            <rFont val="Tahoma"/>
            <charset val="1"/>
          </rPr>
          <t>Source: 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2" authorId="0" shapeId="0" xr:uid="{AE1F3AC0-2CED-4489-8644-765AF9841DC7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2" authorId="0" shapeId="0" xr:uid="{32F717BA-2496-43D9-9A47-B5C002F2FC45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2" authorId="0" shapeId="0" xr:uid="{3414413C-8E8A-4A96-99E3-2F6B1ABAD763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2" authorId="0" shapeId="0" xr:uid="{BC7056D7-3559-4DD9-90A6-8AA708A2980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2" authorId="0" shapeId="0" xr:uid="{E2499448-4B3B-4A2F-9B78-3EE69AAE05C7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3" authorId="0" shapeId="0" xr:uid="{581BF36B-A568-40D0-87A0-56AB3B870543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3" authorId="0" shapeId="0" xr:uid="{53FA2743-3A71-4800-90C5-59D4762A909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3" authorId="0" shapeId="0" xr:uid="{B3397CE4-A7E2-4573-899C-78AF6597742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3" authorId="0" shapeId="0" xr:uid="{61C764C3-6718-4A61-BB56-E63EC1589281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3" authorId="0" shapeId="0" xr:uid="{792C2836-6742-4661-B959-93F9114B26D1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4" authorId="0" shapeId="0" xr:uid="{F3F1F427-8034-4FFC-A649-5CACFEDE205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4" authorId="0" shapeId="0" xr:uid="{515EACA3-9B16-4797-8E50-A86DF5759DCF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4" authorId="0" shapeId="0" xr:uid="{BDCC3470-E444-493F-B17D-715B253CA642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4" authorId="0" shapeId="0" xr:uid="{CEB73422-6E32-485C-B2B3-1192C7A6F21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4" authorId="0" shapeId="0" xr:uid="{8CE729B9-C3F8-4DE2-AAC4-56BD7E3FE995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5" authorId="0" shapeId="0" xr:uid="{5D1A5DF4-5DBF-4110-91F3-C01AAF146FE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5" authorId="0" shapeId="0" xr:uid="{E47C4293-3784-4577-8C4D-01B5BB519AC0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5" authorId="0" shapeId="0" xr:uid="{DFEE1962-626F-4DF0-88CE-7F6CE5CA0E2D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5" authorId="0" shapeId="0" xr:uid="{AB86D03D-6AB7-438B-81BE-F5A1899AD52F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5" authorId="0" shapeId="0" xr:uid="{5D285499-6C0C-4558-A6A0-BCED968099F7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8" authorId="0" shapeId="0" xr:uid="{4235F295-2B46-4FA3-B1D8-F6C4134720C3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D8" authorId="0" shapeId="0" xr:uid="{5DAD1396-B809-4751-89E2-E40B9E1504E5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E8" authorId="0" shapeId="0" xr:uid="{7817D303-8D3E-475E-B4A3-607C94AA9AB5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F8" authorId="0" shapeId="0" xr:uid="{69D22B3E-3175-4760-A432-5BC9BE540883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G8" authorId="0" shapeId="0" xr:uid="{8440EA26-19C7-4421-B140-E2722B1200BD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C9" authorId="0" shapeId="0" xr:uid="{FB1CE74B-CA5D-4855-93D5-056C6C5C2FB3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D9" authorId="0" shapeId="0" xr:uid="{19E5B269-D176-4C32-9893-C83971934AC3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E9" authorId="0" shapeId="0" xr:uid="{8C9BB577-BDFF-4B86-A644-06F5310D0F98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F9" authorId="0" shapeId="0" xr:uid="{D7A142FB-A873-4A8F-AB59-A36BE4F39316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G9" authorId="0" shapeId="0" xr:uid="{A409C716-3458-40A7-B2A1-E13A2FF83152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C10" authorId="0" shapeId="0" xr:uid="{2897431D-7443-4143-BCE9-306F7BAFCC3E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D10" authorId="0" shapeId="0" xr:uid="{D6AB21EF-9CA7-454E-95FB-EF5804596385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E10" authorId="0" shapeId="0" xr:uid="{0B1B0BD4-76D5-4BB5-BF77-C07BB5A55380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F10" authorId="0" shapeId="0" xr:uid="{EC1AD6F1-34B1-471C-9CB6-E4872E44589A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G10" authorId="0" shapeId="0" xr:uid="{37C57AD1-3387-4917-A70B-7F6171F2DAF8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C11" authorId="0" shapeId="0" xr:uid="{FA80D288-94B9-443B-89A2-5992D9D1424F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D11" authorId="0" shapeId="0" xr:uid="{0EED412A-9520-45CD-9FA7-5978E73D6DAB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E11" authorId="0" shapeId="0" xr:uid="{079FBDDB-AE6F-4CAF-B87A-527CE9D9D433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F11" authorId="0" shapeId="0" xr:uid="{FC00BE33-120B-41E2-AA7C-8DF6B505F8AA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G11" authorId="0" shapeId="0" xr:uid="{36D1596B-06DF-40D2-B838-F3B3B0A321C6}">
      <text>
        <r>
          <rPr>
            <sz val="9"/>
            <color indexed="81"/>
            <rFont val="Tahoma"/>
            <charset val="1"/>
          </rPr>
          <t>Source: Dom Delport:
Estimate from national average</t>
        </r>
      </text>
    </comment>
    <comment ref="C14" authorId="0" shapeId="0" xr:uid="{E64365A0-3BE9-449A-98BC-972AEE0EC45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14" authorId="0" shapeId="0" xr:uid="{EAC7B9EE-7362-453E-BF96-CC744F397494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4" authorId="0" shapeId="0" xr:uid="{4013AA10-805E-4DEE-B3C7-0221B8410224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F14" authorId="0" shapeId="0" xr:uid="{474F2017-E7F9-4F41-B6CC-7B194A512DAE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G14" authorId="0" shapeId="0" xr:uid="{DEF9CC60-6179-4B1A-9E81-A35B3CB347A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H14" authorId="0" shapeId="0" xr:uid="{6389B443-EFE1-4D63-B208-ED996BAA9AA1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I14" authorId="0" shapeId="0" xr:uid="{EC694B9B-519A-4922-A6E9-4D08A3EA62BD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J14" authorId="0" shapeId="0" xr:uid="{CA4B3DF8-A8A3-40DC-9273-85E73516B1EE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K14" authorId="0" shapeId="0" xr:uid="{370D280E-8C0B-45EB-9B72-85370C8B2277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L14" authorId="0" shapeId="0" xr:uid="{FF4ECC56-9396-48BE-89F2-AFEA97F3623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14" authorId="0" shapeId="0" xr:uid="{AF8717CD-8B6D-4CEB-AAB7-1A489043DB3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14" authorId="0" shapeId="0" xr:uid="{7DB774BF-9903-4EAB-8855-620994E4E8A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14" authorId="0" shapeId="0" xr:uid="{0AE70D89-4EB9-40B9-82CE-31B2652C26A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  <author>Dominic Delport</author>
  </authors>
  <commentList>
    <comment ref="C2" authorId="0" shapeId="0" xr:uid="{CC5541E4-D59D-40DB-AB31-0B019962E8AB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D2" authorId="0" shapeId="0" xr:uid="{B28CBCDA-41B6-4D97-89BD-9E69997F100B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G2" authorId="1" shapeId="0" xr:uid="{6B0A09E8-7C93-4372-8C15-8B0F45D5AEFD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  <comment ref="C3" authorId="0" shapeId="0" xr:uid="{AAB01F50-553F-4A25-B93A-CE4E841E267D}">
      <text>
        <r>
          <rPr>
            <sz val="9"/>
            <color indexed="81"/>
            <rFont val="Tahoma"/>
            <charset val="1"/>
          </rPr>
          <t>Source: LiST</t>
        </r>
      </text>
    </comment>
    <comment ref="D3" authorId="0" shapeId="0" xr:uid="{A9B4FEDD-E806-49E8-BA72-86773D4CBD82}">
      <text>
        <r>
          <rPr>
            <sz val="9"/>
            <color indexed="81"/>
            <rFont val="Tahoma"/>
            <charset val="1"/>
          </rPr>
          <t>Source: LiST</t>
        </r>
      </text>
    </comment>
    <comment ref="G3" authorId="1" shapeId="0" xr:uid="{F82038E1-BF1B-4424-AEC2-4BAF11F0EBE0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  <comment ref="C4" authorId="0" shapeId="0" xr:uid="{C0BE7E34-C7B2-4F55-BFE6-BE1E792C4019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D4" authorId="0" shapeId="0" xr:uid="{475CE79C-87DF-4EF6-A2E7-016DF8E8AE54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E4" authorId="0" shapeId="0" xr:uid="{39F5B0BE-BD31-4AC6-BE1B-45DCB993F535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F4" authorId="0" shapeId="0" xr:uid="{47C0B9A4-2C37-4BE9-80C5-224FD1730CAA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G4" authorId="1" shapeId="0" xr:uid="{FAE873A1-7BE6-4206-AB91-1C6BBEAAB062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2" authorId="0" shapeId="0" xr:uid="{E7B084C9-F536-41D3-8D16-E1C4AE2097B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2" authorId="0" shapeId="0" xr:uid="{27158887-5DFD-4E4F-901F-D396E7D9017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2" authorId="0" shapeId="0" xr:uid="{443DB080-DEDD-4A6C-97EC-B203C3BD25C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2" authorId="0" shapeId="0" xr:uid="{0048D16E-5203-45B0-B37C-93AA89CAB4D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2" authorId="0" shapeId="0" xr:uid="{8C3844B6-E0AB-4FFD-8F44-68A8EF27EFA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2" authorId="0" shapeId="0" xr:uid="{731B889B-1688-4D91-A0E3-E83625D58E7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2" authorId="0" shapeId="0" xr:uid="{C10E0EFA-90D1-4913-83EC-A0D6CEA4A37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2" authorId="0" shapeId="0" xr:uid="{673E9690-2CA6-4C9B-B3F9-5119DB00508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2" authorId="0" shapeId="0" xr:uid="{EAFD48E1-E5C7-493E-9A6E-2CA47024327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2" authorId="0" shapeId="0" xr:uid="{81055EB0-C5D2-4671-B848-59665390E99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2" authorId="0" shapeId="0" xr:uid="{8DBFAC7A-7E9F-4432-A638-BF2E04A0B52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2" authorId="0" shapeId="0" xr:uid="{857AE54C-DE61-4AF9-97D9-2954D62F2F1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2" authorId="0" shapeId="0" xr:uid="{886AF26A-7A4E-4A13-8E88-9B49A41F7D5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2" authorId="0" shapeId="0" xr:uid="{3286CA5D-9DDF-4D52-B63F-C5A08C3EBEC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4" authorId="0" shapeId="0" xr:uid="{440A089F-2C2C-4ECB-8DCB-94158AB74D8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4" authorId="0" shapeId="0" xr:uid="{930E8BB0-1F6A-4ACC-9B54-9F889BAE339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4" authorId="0" shapeId="0" xr:uid="{BE9FC6C3-77B6-4B0C-AC48-46707047CE7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4" authorId="0" shapeId="0" xr:uid="{7F300218-C758-4E53-ADED-CB71ECA3B3E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4" authorId="0" shapeId="0" xr:uid="{BE3F4A82-C8F0-465C-8580-7223B858A84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4" authorId="0" shapeId="0" xr:uid="{49E4145A-151C-44C2-8EAA-3868AE6D5EB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4" authorId="0" shapeId="0" xr:uid="{A31D5B89-9F16-4109-BD25-B51B3B09575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4" authorId="0" shapeId="0" xr:uid="{15F40044-47D0-46B4-A969-34DAC6916E6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4" authorId="0" shapeId="0" xr:uid="{EA99F611-4357-4402-8E1B-5B2954EE898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4" authorId="0" shapeId="0" xr:uid="{C70F3EB6-0CFD-4AD1-8BBD-42D067B1C7D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4" authorId="0" shapeId="0" xr:uid="{8D51B576-F190-4249-9CC5-CF581BF4B30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4" authorId="0" shapeId="0" xr:uid="{A5AA0F75-A8BA-4655-A128-02B077286D3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4" authorId="0" shapeId="0" xr:uid="{B0563093-919B-4B78-BE80-2FAC9AA547F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4" authorId="0" shapeId="0" xr:uid="{00566EB1-1E93-46BB-9672-B645BFD7BAC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3" authorId="0" shapeId="0" xr:uid="{1B540FED-C0FB-480B-A31C-EA993BE734E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13" authorId="0" shapeId="0" xr:uid="{0C4A84A1-C9A8-44AE-8618-8EF87C4C897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13" authorId="0" shapeId="0" xr:uid="{DFEBC85E-D63B-4B8A-AF07-CE46FA59F8E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13" authorId="0" shapeId="0" xr:uid="{A6077EE6-878A-40BB-ABF4-D30F72AAD41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13" authorId="0" shapeId="0" xr:uid="{CAE202CD-7820-4B9D-A7C2-CFC47ACB3B2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13" authorId="0" shapeId="0" xr:uid="{201C15BF-8909-47CC-855A-077311AC415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13" authorId="0" shapeId="0" xr:uid="{D40FB883-6E83-4CB0-A7A8-88A36B51C95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13" authorId="0" shapeId="0" xr:uid="{97F8E9FB-3DE3-442C-B4E9-91E63664806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13" authorId="0" shapeId="0" xr:uid="{592C642F-048D-466B-8708-145E4480BEF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13" authorId="0" shapeId="0" xr:uid="{408AA45D-719F-4D78-8D6A-33233AE9FAC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13" authorId="0" shapeId="0" xr:uid="{65FAC7F2-63E3-4E60-A9F8-F230E4625F8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13" authorId="0" shapeId="0" xr:uid="{EBA72A5A-9D65-4DA7-8A88-CACE96CE2BF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13" authorId="0" shapeId="0" xr:uid="{2E6A3850-37A3-46BF-9263-248978B9113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13" authorId="0" shapeId="0" xr:uid="{E774C170-079B-4B3D-8401-47F6EC47E1A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B2" authorId="0" shapeId="0" xr:uid="{FF7369E1-FB59-4D86-981B-11675D7432D0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" authorId="0" shapeId="0" xr:uid="{A07F8F00-E004-4B0D-B688-3F2EAAAB5DEF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3" authorId="0" shapeId="0" xr:uid="{6220906C-540F-4EDC-8CED-5DC02B99602A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3" authorId="0" shapeId="0" xr:uid="{EC4857D0-8CE4-4C2B-A437-CF3706C2D7F1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D4" authorId="0" shapeId="0" xr:uid="{B171A48F-DACF-4322-A9C5-C7C5A5683F21}">
      <text>
        <r>
          <rPr>
            <sz val="9"/>
            <color indexed="81"/>
            <rFont val="Tahoma"/>
            <charset val="1"/>
          </rPr>
          <t>Source: 10% of GDP per capita</t>
        </r>
      </text>
    </comment>
    <comment ref="D5" authorId="0" shapeId="0" xr:uid="{FB621191-F24B-456E-BCF7-F04C33695156}">
      <text>
        <r>
          <rPr>
            <sz val="9"/>
            <color indexed="81"/>
            <rFont val="Tahoma"/>
            <charset val="1"/>
          </rPr>
          <t>Source: Personnel wages based on 2016 GDP per capita and time requirements estimated by authors</t>
        </r>
      </text>
    </comment>
    <comment ref="B7" authorId="0" shapeId="0" xr:uid="{9C9A12D6-A045-411D-835D-61C938A26D5A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7" authorId="0" shapeId="0" xr:uid="{092E3D8D-A6E9-4052-9B8F-DA86F4D76AC0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8" authorId="0" shapeId="0" xr:uid="{BC813074-6D7C-4C5F-9DBA-F00B831C1CE7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8" authorId="0" shapeId="0" xr:uid="{9B281773-AE10-40F4-B926-F5A2CCBAD753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9" authorId="0" shapeId="0" xr:uid="{CA888B82-D351-485E-BBC1-00A013F7FB4A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9" authorId="0" shapeId="0" xr:uid="{6EC19BD9-D85E-44F2-ABA2-9D1FED34E9B6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10" authorId="0" shapeId="0" xr:uid="{A087F039-E8EC-49CB-BFF0-81E019A7E755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0" authorId="0" shapeId="0" xr:uid="{4EE8DFD1-0A87-413A-A6A9-32BC2B74D85B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1" authorId="0" shapeId="0" xr:uid="{D51A2E71-D224-4F50-824F-93C5FB096EA4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1" authorId="0" shapeId="0" xr:uid="{D5099543-BE90-438E-81B3-ED6BF80EA8BC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2" authorId="0" shapeId="0" xr:uid="{E49888C3-DBB3-4E22-9B38-2BC3A53FDF6B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2" authorId="0" shapeId="0" xr:uid="{B865C1F3-AC0E-4176-813F-4C2830269A10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3" authorId="0" shapeId="0" xr:uid="{4C3F84F2-AAB5-4FEC-AF42-B7379EAB9439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3" authorId="0" shapeId="0" xr:uid="{7ABB1B20-D04B-46BA-8642-CB532B1A9FBF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4" authorId="0" shapeId="0" xr:uid="{B3998C98-F82E-4947-94B7-98833324F132}">
      <text>
        <r>
          <rPr>
            <sz val="9"/>
            <color indexed="81"/>
            <rFont val="Tahoma"/>
            <charset val="1"/>
          </rPr>
          <t>Source: LiST</t>
        </r>
      </text>
    </comment>
    <comment ref="D14" authorId="0" shapeId="0" xr:uid="{ACCD09EE-D6C2-497B-8B92-C615FCA1120B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5" authorId="0" shapeId="0" xr:uid="{160922EC-CFF6-44F1-A467-E19E554CA50E}">
      <text>
        <r>
          <rPr>
            <sz val="9"/>
            <color indexed="81"/>
            <rFont val="Tahoma"/>
            <charset val="1"/>
          </rPr>
          <t>Source: LiST</t>
        </r>
      </text>
    </comment>
    <comment ref="D15" authorId="0" shapeId="0" xr:uid="{6E6E5CF6-DA82-429D-BC7B-85DF3D2E7D5E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6" authorId="0" shapeId="0" xr:uid="{4968AA00-B8C5-4E77-A57D-15AC00BDDB12}">
      <text>
        <r>
          <rPr>
            <sz val="9"/>
            <color indexed="81"/>
            <rFont val="Tahoma"/>
            <charset val="1"/>
          </rPr>
          <t>Source: LiST</t>
        </r>
      </text>
    </comment>
    <comment ref="D16" authorId="0" shapeId="0" xr:uid="{92243561-C495-4623-A95B-C540F238CEA6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7" authorId="0" shapeId="0" xr:uid="{FEB00730-81AC-4C60-8591-931D1364F195}">
      <text>
        <r>
          <rPr>
            <sz val="9"/>
            <color indexed="81"/>
            <rFont val="Tahoma"/>
            <charset val="1"/>
          </rPr>
          <t>Source: UNICEF State of the World's Children coverage map 2017 &lt;http://www.ign.org/cm_data/UNICEF_map.jpg&gt;</t>
        </r>
      </text>
    </comment>
    <comment ref="D17" authorId="0" shapeId="0" xr:uid="{E60340F1-2FD9-46FB-9E8B-96D86DC12A82}">
      <text>
        <r>
          <rPr>
            <sz val="9"/>
            <color indexed="81"/>
            <rFont val="Tahoma"/>
            <charset val="1"/>
          </rPr>
          <t>Source: Costing based upon estimates by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8" authorId="0" shapeId="0" xr:uid="{8F737067-0208-4486-B9D8-E065D0F25C6F}">
      <text>
        <r>
          <rPr>
            <sz val="9"/>
            <color indexed="81"/>
            <rFont val="Tahoma"/>
            <charset val="1"/>
          </rPr>
          <t>Source: LiST</t>
        </r>
      </text>
    </comment>
    <comment ref="D18" authorId="0" shapeId="0" xr:uid="{5734E772-E5D0-4369-91E6-56AB7FD3DF0F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19" authorId="0" shapeId="0" xr:uid="{39E3A769-5EE9-4737-80AF-EA96CBDBB075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20" authorId="0" shapeId="0" xr:uid="{A76CD3B9-1141-446E-9C25-673C0CD9184B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21" authorId="0" shapeId="0" xr:uid="{5AE15780-07E1-4732-A2A6-4563F0030CD8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1" authorId="0" shapeId="0" xr:uid="{119FD56E-6FAB-43F5-AD68-D8840C016A61}">
      <text>
        <r>
          <rPr>
            <sz val="9"/>
            <color indexed="81"/>
            <rFont val="Tahoma"/>
            <charset val="1"/>
          </rPr>
          <t>Source: Personnel wages based on 2016 GDP per capita and time requirements estimated by authors</t>
        </r>
      </text>
    </comment>
    <comment ref="D22" authorId="0" shapeId="0" xr:uid="{87A6AF51-9BB0-41FA-9EBC-A2B1C405D6A6}">
      <text>
        <r>
          <rPr>
            <sz val="9"/>
            <color indexed="81"/>
            <rFont val="Tahoma"/>
            <charset val="1"/>
          </rPr>
          <t xml:space="preserve">Source: </t>
        </r>
      </text>
    </comment>
    <comment ref="B23" authorId="0" shapeId="0" xr:uid="{26D00058-ACCA-4FB2-B1FD-E24FF83992A5}">
      <text>
        <r>
          <rPr>
            <sz val="9"/>
            <color indexed="81"/>
            <rFont val="Tahoma"/>
            <charset val="1"/>
          </rPr>
          <t>Source: LiST</t>
        </r>
      </text>
    </comment>
    <comment ref="D23" authorId="0" shapeId="0" xr:uid="{9822DF6E-B00A-463F-BFE8-21C6CDD4F271}">
      <text>
        <r>
          <rPr>
            <sz val="9"/>
            <color indexed="81"/>
            <rFont val="Tahoma"/>
            <charset val="1"/>
          </rPr>
          <t>Source: Material costs taken from 2014 WHO International Drug Pricing &lt;http://apps.who.int/medicinedocs/documents/s21982en/s21982en.pdf&gt;,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4" authorId="0" shapeId="0" xr:uid="{4702614C-1867-4E75-A74F-96513A681BC2}">
      <text>
        <r>
          <rPr>
            <sz val="9"/>
            <color indexed="81"/>
            <rFont val="Tahoma"/>
            <charset val="1"/>
          </rPr>
          <t>Source: LiST</t>
        </r>
      </text>
    </comment>
    <comment ref="D24" authorId="0" shapeId="0" xr:uid="{2640E59D-5CC8-460F-A10E-283D5B889EF3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5" authorId="0" shapeId="0" xr:uid="{6C636845-5C39-4C46-865C-53218D039A9D}">
      <text>
        <r>
          <rPr>
            <sz val="9"/>
            <color indexed="81"/>
            <rFont val="Tahoma"/>
            <charset val="1"/>
          </rPr>
          <t>Source: LiST</t>
        </r>
      </text>
    </comment>
    <comment ref="D25" authorId="0" shapeId="0" xr:uid="{23BECC4A-7FE5-481A-9331-525CBB65BDD7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6" authorId="0" shapeId="0" xr:uid="{AC1A05AD-CB9F-46B4-9583-7FED35089340}">
      <text>
        <r>
          <rPr>
            <sz val="9"/>
            <color indexed="81"/>
            <rFont val="Tahoma"/>
            <charset val="1"/>
          </rPr>
          <t>Source: LiST</t>
        </r>
      </text>
    </comment>
    <comment ref="D26" authorId="0" shapeId="0" xr:uid="{3F473324-7EC8-4A03-9C7F-D289507595A3}">
      <text>
        <r>
          <rPr>
            <sz val="9"/>
            <color indexed="81"/>
            <rFont val="Tahoma"/>
            <charset val="1"/>
          </rPr>
          <t>Source: Drug dosages taken from WHO eLENA, drug costs taken from UNICEF pricing list at &lt;https://www.unicef.org/supply/files/Micro_Nutrient_Powder_-_September_2016(1).pdf&gt;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7" authorId="0" shapeId="0" xr:uid="{38C3A9A6-4B21-4F58-AC23-6C96A99225D4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7" authorId="0" shapeId="0" xr:uid="{7CB0975E-61A8-47DC-BE39-C146F427754A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28" authorId="0" shapeId="0" xr:uid="{9FC897DD-2160-4A77-87C9-E8544BAF8D97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D28" authorId="0" shapeId="0" xr:uid="{EA37EAA6-68CC-4E5C-B70C-CF916086B365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9" authorId="0" shapeId="0" xr:uid="{3D27C222-7FA8-491D-91D3-A469A0A691B3}">
      <text>
        <r>
          <rPr>
            <sz val="9"/>
            <color indexed="81"/>
            <rFont val="Tahoma"/>
            <charset val="1"/>
          </rPr>
          <t>Source: LiST</t>
        </r>
      </text>
    </comment>
    <comment ref="D29" authorId="0" shapeId="0" xr:uid="{DA9D21B2-5EBD-4AFE-9C67-3A0D0FC1A85D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30" authorId="0" shapeId="0" xr:uid="{63AC92F6-AFA3-4BC8-8A08-B9E52DF242B9}">
      <text>
        <r>
          <rPr>
            <sz val="9"/>
            <color indexed="81"/>
            <rFont val="Tahoma"/>
            <charset val="1"/>
          </rPr>
          <t>Source: LiST</t>
        </r>
      </text>
    </comment>
    <comment ref="D30" authorId="0" shapeId="0" xr:uid="{8F3C58C4-3A1A-4BFA-B7B9-1A347A169F42}">
      <text>
        <r>
          <rPr>
            <sz val="9"/>
            <color indexed="81"/>
            <rFont val="Tahoma"/>
            <charset val="1"/>
          </rPr>
          <t xml:space="preserve">Source: </t>
        </r>
      </text>
    </comment>
    <comment ref="B31" authorId="0" shapeId="0" xr:uid="{D4ED9CA5-DDF2-4FA8-8C9C-81807202988C}">
      <text>
        <r>
          <rPr>
            <sz val="9"/>
            <color indexed="81"/>
            <rFont val="Tahoma"/>
            <charset val="1"/>
          </rPr>
          <t>Source: LiST/DHS (Country level)</t>
        </r>
      </text>
    </comment>
    <comment ref="D31" authorId="0" shapeId="0" xr:uid="{0E4482E0-A4CD-4D2A-960B-3A8BEAF7CDAC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32" authorId="0" shapeId="0" xr:uid="{4562EDDD-CBDC-4202-ADCF-A1E815958D7B}">
      <text>
        <r>
          <rPr>
            <sz val="9"/>
            <color indexed="81"/>
            <rFont val="Tahoma"/>
            <charset val="1"/>
          </rPr>
          <t>Source: LiST</t>
        </r>
      </text>
    </comment>
    <comment ref="B33" authorId="0" shapeId="0" xr:uid="{1E287BA3-C9FF-4285-A78F-DAFC1EA76B10}">
      <text>
        <r>
          <rPr>
            <sz val="9"/>
            <color indexed="81"/>
            <rFont val="Tahoma"/>
            <charset val="1"/>
          </rPr>
          <t>Source: LiST</t>
        </r>
      </text>
    </comment>
    <comment ref="B34" authorId="0" shapeId="0" xr:uid="{CC9F04A8-5F7A-44DA-8AC8-A0EF78612AB4}">
      <text>
        <r>
          <rPr>
            <sz val="9"/>
            <color indexed="81"/>
            <rFont val="Tahoma"/>
            <charset val="1"/>
          </rPr>
          <t>Source: LiST</t>
        </r>
      </text>
    </comment>
    <comment ref="B35" authorId="0" shapeId="0" xr:uid="{1808C99A-0207-406E-9338-42DF042FC04D}">
      <text>
        <r>
          <rPr>
            <sz val="9"/>
            <color indexed="81"/>
            <rFont val="Tahoma"/>
            <charset val="1"/>
          </rPr>
          <t>Source: LiST</t>
        </r>
      </text>
    </comment>
    <comment ref="B36" authorId="0" shapeId="0" xr:uid="{3E8CFD8E-912F-4D61-AB6D-861EA4975059}">
      <text>
        <r>
          <rPr>
            <sz val="9"/>
            <color indexed="81"/>
            <rFont val="Tahoma"/>
            <charset val="1"/>
          </rPr>
          <t>Source: LiST</t>
        </r>
      </text>
    </comment>
    <comment ref="B37" authorId="0" shapeId="0" xr:uid="{777AD3B8-0C62-43BF-B8CF-24F7D6AC07D3}">
      <text>
        <r>
          <rPr>
            <sz val="9"/>
            <color indexed="81"/>
            <rFont val="Tahoma"/>
            <charset val="1"/>
          </rPr>
          <t>Source: LiST</t>
        </r>
      </text>
    </comment>
    <comment ref="D37" authorId="0" shapeId="0" xr:uid="{F13CA325-9F87-45B6-951D-2B2E011C8E46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38" authorId="0" shapeId="0" xr:uid="{0BAC82CB-DC3E-4563-97B5-C29677B9B301}">
      <text>
        <r>
          <rPr>
            <sz val="9"/>
            <color indexed="81"/>
            <rFont val="Tahoma"/>
            <charset val="1"/>
          </rPr>
          <t>Source: DHS</t>
        </r>
      </text>
    </comment>
    <comment ref="D38" authorId="0" shapeId="0" xr:uid="{2E4AD412-6912-4F60-9A3B-E260917711DF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<sst xmlns="http://schemas.openxmlformats.org/spreadsheetml/2006/main" count="1102" uniqueCount="271">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</sst>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9" fillId="3" borderId="1" xfId="725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7" zoomScaleNormal="100" workbookViewId="0">
      <selection activeCell="C45" sqref="C45"/>
    </sheetView>
  </sheetViews>
  <sheetFormatPr defaultColWidth="14.453125" defaultRowHeight="15.75" customHeight="1" x14ac:dyDescent="0.25"/>
  <cols>
    <col min="1" max="1" width="27.7265625" style="12" customWidth="1"/>
    <col min="2" max="2" width="38.7265625" style="16" customWidth="1"/>
    <col min="3" max="16384" width="14.453125" style="12"/>
  </cols>
  <sheetData>
    <row r="1" spans="1:3" ht="16" customHeight="1" x14ac:dyDescent="0.3">
      <c r="A1" s="1" t="s">
        <v>100</v>
      </c>
      <c r="B1" s="41" t="s">
        <v>164</v>
      </c>
      <c r="C1" s="41" t="s">
        <v>165</v>
      </c>
    </row>
    <row r="2" spans="1:3" ht="16" customHeight="1" x14ac:dyDescent="0.3">
      <c r="A2" s="12" t="s">
        <v>191</v>
      </c>
      <c r="B2" s="41"/>
      <c r="C2" s="41"/>
    </row>
    <row r="3" spans="1:3" ht="16" customHeight="1" x14ac:dyDescent="0.3">
      <c r="A3" s="1"/>
      <c r="B3" s="7" t="s">
        <v>193</v>
      </c>
      <c r="C3" s="67">
        <v>2017</v>
      </c>
    </row>
    <row r="4" spans="1:3" ht="16" customHeight="1" x14ac:dyDescent="0.3">
      <c r="A4" s="1"/>
      <c r="B4" s="9" t="s">
        <v>192</v>
      </c>
      <c r="C4" s="68">
        <v>2030</v>
      </c>
    </row>
    <row r="5" spans="1:3" ht="16" customHeight="1" x14ac:dyDescent="0.3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253345</v>
      </c>
    </row>
    <row r="8" spans="1:3" ht="15" customHeight="1" x14ac:dyDescent="0.25">
      <c r="B8" s="7" t="s">
        <v>106</v>
      </c>
      <c r="C8" s="70">
        <v>0.21899999999999997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0.98864250183105495</v>
      </c>
    </row>
    <row r="11" spans="1:3" ht="15" customHeight="1" x14ac:dyDescent="0.25">
      <c r="B11" s="7" t="s">
        <v>108</v>
      </c>
      <c r="C11" s="70">
        <v>0.88300000000000001</v>
      </c>
    </row>
    <row r="12" spans="1:3" ht="15" customHeight="1" x14ac:dyDescent="0.25">
      <c r="B12" s="7" t="s">
        <v>109</v>
      </c>
      <c r="C12" s="70">
        <v>0.74</v>
      </c>
    </row>
    <row r="13" spans="1:3" ht="15" customHeight="1" x14ac:dyDescent="0.25">
      <c r="B13" s="7" t="s">
        <v>110</v>
      </c>
      <c r="C13" s="70">
        <v>0.249</v>
      </c>
    </row>
    <row r="14" spans="1:3" ht="15" customHeight="1" x14ac:dyDescent="0.25">
      <c r="B14" s="12"/>
    </row>
    <row r="15" spans="1:3" ht="15" customHeight="1" x14ac:dyDescent="0.3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0.1278</v>
      </c>
    </row>
    <row r="24" spans="1:3" ht="15" customHeight="1" x14ac:dyDescent="0.25">
      <c r="B24" s="20" t="s">
        <v>102</v>
      </c>
      <c r="C24" s="71">
        <v>0.60719999999999996</v>
      </c>
    </row>
    <row r="25" spans="1:3" ht="15" customHeight="1" x14ac:dyDescent="0.25">
      <c r="B25" s="20" t="s">
        <v>103</v>
      </c>
      <c r="C25" s="71">
        <v>0.2432</v>
      </c>
    </row>
    <row r="26" spans="1:3" ht="15" customHeight="1" x14ac:dyDescent="0.25">
      <c r="B26" s="20" t="s">
        <v>104</v>
      </c>
      <c r="C26" s="71">
        <v>2.18E-2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0.35700000000000004</v>
      </c>
    </row>
    <row r="30" spans="1:3" ht="14.25" customHeight="1" x14ac:dyDescent="0.25">
      <c r="B30" s="30" t="s">
        <v>76</v>
      </c>
      <c r="C30" s="73">
        <v>6.6000000000000003E-2</v>
      </c>
    </row>
    <row r="31" spans="1:3" ht="14.25" customHeight="1" x14ac:dyDescent="0.25">
      <c r="B31" s="30" t="s">
        <v>77</v>
      </c>
      <c r="C31" s="73">
        <v>9.3000000000000013E-2</v>
      </c>
    </row>
    <row r="32" spans="1:3" ht="14.25" customHeight="1" x14ac:dyDescent="0.25">
      <c r="B32" s="30" t="s">
        <v>78</v>
      </c>
      <c r="C32" s="73">
        <v>0.48399999998509885</v>
      </c>
    </row>
    <row r="33" spans="1:5" ht="13" x14ac:dyDescent="0.25">
      <c r="B33" s="32" t="s">
        <v>129</v>
      </c>
      <c r="C33" s="74">
        <f>SUM(C29:C32)</f>
        <v>0.99999999998509881</v>
      </c>
    </row>
    <row r="34" spans="1:5" ht="15" customHeight="1" x14ac:dyDescent="0.25"/>
    <row r="35" spans="1:5" ht="15" customHeight="1" x14ac:dyDescent="0.3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6.7</v>
      </c>
    </row>
    <row r="38" spans="1:5" ht="15" customHeight="1" x14ac:dyDescent="0.25">
      <c r="B38" s="16" t="s">
        <v>91</v>
      </c>
      <c r="C38" s="75">
        <v>9.6999999999999993</v>
      </c>
      <c r="D38" s="17"/>
      <c r="E38" s="18"/>
    </row>
    <row r="39" spans="1:5" ht="15" customHeight="1" x14ac:dyDescent="0.25">
      <c r="B39" s="16" t="s">
        <v>90</v>
      </c>
      <c r="C39" s="75">
        <v>10.8</v>
      </c>
      <c r="D39" s="17"/>
      <c r="E39" s="17"/>
    </row>
    <row r="40" spans="1:5" ht="15" customHeight="1" x14ac:dyDescent="0.25">
      <c r="B40" s="16" t="s">
        <v>171</v>
      </c>
      <c r="C40" s="75">
        <v>0.36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11.2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1.9799999999999998E-2</v>
      </c>
      <c r="D45" s="17"/>
    </row>
    <row r="46" spans="1:5" ht="15.75" customHeight="1" x14ac:dyDescent="0.25">
      <c r="B46" s="16" t="s">
        <v>11</v>
      </c>
      <c r="C46" s="71">
        <v>6.8400000000000002E-2</v>
      </c>
      <c r="D46" s="17"/>
    </row>
    <row r="47" spans="1:5" ht="15.75" customHeight="1" x14ac:dyDescent="0.25">
      <c r="B47" s="16" t="s">
        <v>12</v>
      </c>
      <c r="C47" s="71">
        <v>0.13470000000000001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0.7770999999999999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0.60753548345874997</v>
      </c>
      <c r="D51" s="17"/>
    </row>
    <row r="52" spans="1:4" ht="15" customHeight="1" x14ac:dyDescent="0.25">
      <c r="B52" s="16" t="s">
        <v>125</v>
      </c>
      <c r="C52" s="76">
        <v>0.54041925822500003</v>
      </c>
    </row>
    <row r="53" spans="1:4" ht="15.75" customHeight="1" x14ac:dyDescent="0.25">
      <c r="B53" s="16" t="s">
        <v>126</v>
      </c>
      <c r="C53" s="76">
        <v>0.54041925822500003</v>
      </c>
    </row>
    <row r="54" spans="1:4" ht="15.75" customHeight="1" x14ac:dyDescent="0.25">
      <c r="B54" s="16" t="s">
        <v>127</v>
      </c>
      <c r="C54" s="76">
        <v>0.51886480895300002</v>
      </c>
    </row>
    <row r="55" spans="1:4" ht="15.75" customHeight="1" x14ac:dyDescent="0.25">
      <c r="B55" s="16" t="s">
        <v>128</v>
      </c>
      <c r="C55" s="76">
        <v>0.51886480895300002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1.6202203499675955E-2</v>
      </c>
    </row>
    <row r="59" spans="1:4" ht="15.75" customHeight="1" x14ac:dyDescent="0.25">
      <c r="B59" s="16" t="s">
        <v>132</v>
      </c>
      <c r="C59" s="70">
        <v>0.55310307441626749</v>
      </c>
    </row>
    <row r="63" spans="1:4" ht="15.75" customHeight="1" x14ac:dyDescent="0.3">
      <c r="A63" s="4"/>
    </row>
  </sheetData>
  <sheetProtection password="CA9F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C19" sqref="C19"/>
    </sheetView>
  </sheetViews>
  <sheetFormatPr defaultColWidth="14.453125" defaultRowHeight="15.75" customHeight="1" x14ac:dyDescent="0.25"/>
  <cols>
    <col min="1" max="1" width="8.453125" style="12" customWidth="1"/>
    <col min="2" max="9" width="16.81640625" style="12" customWidth="1"/>
    <col min="10" max="16384" width="14.453125" style="12"/>
  </cols>
  <sheetData>
    <row r="1" spans="1:9" s="21" customFormat="1" ht="30" customHeight="1" x14ac:dyDescent="0.3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2017</v>
      </c>
      <c r="B2" s="77">
        <v>49135.092720000001</v>
      </c>
      <c r="C2" s="78">
        <v>97111</v>
      </c>
      <c r="D2" s="78">
        <v>252395</v>
      </c>
      <c r="E2" s="78">
        <v>260771</v>
      </c>
      <c r="F2" s="78">
        <v>250736</v>
      </c>
      <c r="G2" s="22">
        <f t="shared" ref="G2:G40" si="0">C2+D2+E2+F2</f>
        <v>861013</v>
      </c>
      <c r="H2" s="22">
        <f t="shared" ref="H2:H40" si="1">(B2 + stillbirth*B2/(1000-stillbirth))/(1-abortion)</f>
        <v>57116.826526057361</v>
      </c>
      <c r="I2" s="22">
        <f>G2-H2</f>
        <v>803896.17347394268</v>
      </c>
    </row>
    <row r="3" spans="1:9" ht="15.75" customHeight="1" x14ac:dyDescent="0.25">
      <c r="A3" s="7">
        <f t="shared" ref="A3:A40" si="2">IF($A$2+ROW(A3)-2&lt;=end_year,A2+1,"")</f>
        <v>2018</v>
      </c>
      <c r="B3" s="77">
        <v>47914.356333333337</v>
      </c>
      <c r="C3" s="78">
        <v>95000</v>
      </c>
      <c r="D3" s="78">
        <v>245000</v>
      </c>
      <c r="E3" s="78">
        <v>260000</v>
      </c>
      <c r="F3" s="78">
        <v>251000</v>
      </c>
      <c r="G3" s="22">
        <f t="shared" si="0"/>
        <v>851000</v>
      </c>
      <c r="H3" s="22">
        <f t="shared" si="1"/>
        <v>55697.788022790119</v>
      </c>
      <c r="I3" s="22">
        <f t="shared" ref="I3:I15" si="3">G3-H3</f>
        <v>795302.2119772099</v>
      </c>
    </row>
    <row r="4" spans="1:9" ht="15.75" customHeight="1" x14ac:dyDescent="0.25">
      <c r="A4" s="7">
        <f t="shared" si="2"/>
        <v>2019</v>
      </c>
      <c r="B4" s="77">
        <v>46699.006666666661</v>
      </c>
      <c r="C4" s="78">
        <v>93000</v>
      </c>
      <c r="D4" s="78">
        <v>236000</v>
      </c>
      <c r="E4" s="78">
        <v>259000</v>
      </c>
      <c r="F4" s="78">
        <v>253000</v>
      </c>
      <c r="G4" s="22">
        <f t="shared" si="0"/>
        <v>841000</v>
      </c>
      <c r="H4" s="22">
        <f t="shared" si="1"/>
        <v>54285.011283462904</v>
      </c>
      <c r="I4" s="22">
        <f t="shared" si="3"/>
        <v>786714.98871653713</v>
      </c>
    </row>
    <row r="5" spans="1:9" ht="15.75" customHeight="1" x14ac:dyDescent="0.25">
      <c r="A5" s="7">
        <f t="shared" si="2"/>
        <v>2020</v>
      </c>
      <c r="B5" s="77">
        <v>45476.7</v>
      </c>
      <c r="C5" s="78">
        <v>94000</v>
      </c>
      <c r="D5" s="78">
        <v>228000</v>
      </c>
      <c r="E5" s="78">
        <v>259000</v>
      </c>
      <c r="F5" s="78">
        <v>253000</v>
      </c>
      <c r="G5" s="22">
        <f t="shared" si="0"/>
        <v>834000</v>
      </c>
      <c r="H5" s="22">
        <f t="shared" si="1"/>
        <v>52864.147416582964</v>
      </c>
      <c r="I5" s="22">
        <f t="shared" si="3"/>
        <v>781135.85258341709</v>
      </c>
    </row>
    <row r="6" spans="1:9" ht="15.75" customHeight="1" x14ac:dyDescent="0.25">
      <c r="A6" s="7">
        <f t="shared" si="2"/>
        <v>2021</v>
      </c>
      <c r="B6" s="77">
        <v>44568.455999999998</v>
      </c>
      <c r="C6" s="78">
        <v>95000</v>
      </c>
      <c r="D6" s="78">
        <v>219000</v>
      </c>
      <c r="E6" s="78">
        <v>258000</v>
      </c>
      <c r="F6" s="78">
        <v>254000</v>
      </c>
      <c r="G6" s="22">
        <f t="shared" si="0"/>
        <v>826000</v>
      </c>
      <c r="H6" s="22">
        <f t="shared" si="1"/>
        <v>51808.364021872563</v>
      </c>
      <c r="I6" s="22">
        <f t="shared" si="3"/>
        <v>774191.63597812748</v>
      </c>
    </row>
    <row r="7" spans="1:9" ht="15.75" customHeight="1" x14ac:dyDescent="0.25">
      <c r="A7" s="7">
        <f t="shared" si="2"/>
        <v>2022</v>
      </c>
      <c r="B7" s="77">
        <v>43653.60500000001</v>
      </c>
      <c r="C7" s="78">
        <v>98000</v>
      </c>
      <c r="D7" s="78">
        <v>209000</v>
      </c>
      <c r="E7" s="78">
        <v>257000</v>
      </c>
      <c r="F7" s="78">
        <v>254000</v>
      </c>
      <c r="G7" s="22">
        <f t="shared" si="0"/>
        <v>818000</v>
      </c>
      <c r="H7" s="22">
        <f t="shared" si="1"/>
        <v>50744.900355243102</v>
      </c>
      <c r="I7" s="22">
        <f t="shared" si="3"/>
        <v>767255.09964475688</v>
      </c>
    </row>
    <row r="8" spans="1:9" ht="15.75" customHeight="1" x14ac:dyDescent="0.25">
      <c r="A8" s="7">
        <f t="shared" si="2"/>
        <v>2023</v>
      </c>
      <c r="B8" s="77">
        <v>42756.12000000001</v>
      </c>
      <c r="C8" s="78">
        <v>102000</v>
      </c>
      <c r="D8" s="78">
        <v>200000</v>
      </c>
      <c r="E8" s="78">
        <v>256000</v>
      </c>
      <c r="F8" s="78">
        <v>253000</v>
      </c>
      <c r="G8" s="22">
        <f t="shared" si="0"/>
        <v>811000</v>
      </c>
      <c r="H8" s="22">
        <f t="shared" si="1"/>
        <v>49701.62370271176</v>
      </c>
      <c r="I8" s="22">
        <f t="shared" si="3"/>
        <v>761298.37629728823</v>
      </c>
    </row>
    <row r="9" spans="1:9" ht="15.75" customHeight="1" x14ac:dyDescent="0.25">
      <c r="A9" s="7">
        <f t="shared" si="2"/>
        <v>2024</v>
      </c>
      <c r="B9" s="77">
        <v>41852.434000000008</v>
      </c>
      <c r="C9" s="78">
        <v>106000</v>
      </c>
      <c r="D9" s="78">
        <v>193000</v>
      </c>
      <c r="E9" s="78">
        <v>253000</v>
      </c>
      <c r="F9" s="78">
        <v>253000</v>
      </c>
      <c r="G9" s="22">
        <f t="shared" si="0"/>
        <v>805000</v>
      </c>
      <c r="H9" s="22">
        <f t="shared" si="1"/>
        <v>48651.138730796425</v>
      </c>
      <c r="I9" s="22">
        <f t="shared" si="3"/>
        <v>756348.8612692036</v>
      </c>
    </row>
    <row r="10" spans="1:9" ht="15.75" customHeight="1" x14ac:dyDescent="0.25">
      <c r="A10" s="7">
        <f t="shared" si="2"/>
        <v>2025</v>
      </c>
      <c r="B10" s="77">
        <v>40943.156000000003</v>
      </c>
      <c r="C10" s="78">
        <v>110000</v>
      </c>
      <c r="D10" s="78">
        <v>188000</v>
      </c>
      <c r="E10" s="78">
        <v>250000</v>
      </c>
      <c r="F10" s="78">
        <v>252000</v>
      </c>
      <c r="G10" s="22">
        <f t="shared" si="0"/>
        <v>800000</v>
      </c>
      <c r="H10" s="22">
        <f t="shared" si="1"/>
        <v>47594.153368299674</v>
      </c>
      <c r="I10" s="22">
        <f t="shared" si="3"/>
        <v>752405.84663170029</v>
      </c>
    </row>
    <row r="11" spans="1:9" ht="15.75" customHeight="1" x14ac:dyDescent="0.25">
      <c r="A11" s="7">
        <f t="shared" si="2"/>
        <v>2026</v>
      </c>
      <c r="B11" s="77">
        <v>40478.227200000001</v>
      </c>
      <c r="C11" s="78">
        <v>113000</v>
      </c>
      <c r="D11" s="78">
        <v>184000</v>
      </c>
      <c r="E11" s="78">
        <v>244000</v>
      </c>
      <c r="F11" s="78">
        <v>251000</v>
      </c>
      <c r="G11" s="22">
        <f t="shared" si="0"/>
        <v>792000</v>
      </c>
      <c r="H11" s="22">
        <f t="shared" si="1"/>
        <v>47053.69936391028</v>
      </c>
      <c r="I11" s="22">
        <f t="shared" si="3"/>
        <v>744946.30063608976</v>
      </c>
    </row>
    <row r="12" spans="1:9" ht="15.75" customHeight="1" x14ac:dyDescent="0.25">
      <c r="A12" s="7">
        <f t="shared" si="2"/>
        <v>2027</v>
      </c>
      <c r="B12" s="77">
        <v>40015.752400000005</v>
      </c>
      <c r="C12" s="78">
        <v>117000</v>
      </c>
      <c r="D12" s="78">
        <v>184000</v>
      </c>
      <c r="E12" s="78">
        <v>237000</v>
      </c>
      <c r="F12" s="78">
        <v>250000</v>
      </c>
      <c r="G12" s="22">
        <f t="shared" si="0"/>
        <v>788000</v>
      </c>
      <c r="H12" s="22">
        <f t="shared" si="1"/>
        <v>46516.097998735269</v>
      </c>
      <c r="I12" s="22">
        <f t="shared" si="3"/>
        <v>741483.90200126474</v>
      </c>
    </row>
    <row r="13" spans="1:9" ht="15.75" customHeight="1" x14ac:dyDescent="0.25">
      <c r="A13" s="7">
        <f t="shared" si="2"/>
        <v>2028</v>
      </c>
      <c r="B13" s="77">
        <v>39544.701000000008</v>
      </c>
      <c r="C13" s="78">
        <v>119000</v>
      </c>
      <c r="D13" s="78">
        <v>185000</v>
      </c>
      <c r="E13" s="78">
        <v>230000</v>
      </c>
      <c r="F13" s="78">
        <v>250000</v>
      </c>
      <c r="G13" s="22">
        <f t="shared" si="0"/>
        <v>784000</v>
      </c>
      <c r="H13" s="22">
        <f t="shared" si="1"/>
        <v>45968.526810623829</v>
      </c>
      <c r="I13" s="22">
        <f t="shared" si="3"/>
        <v>738031.47318937618</v>
      </c>
    </row>
    <row r="14" spans="1:9" ht="15.75" customHeight="1" x14ac:dyDescent="0.25">
      <c r="A14" s="7">
        <f t="shared" si="2"/>
        <v>2029</v>
      </c>
      <c r="B14" s="77">
        <v>39076.267200000009</v>
      </c>
      <c r="C14" s="78">
        <v>121000</v>
      </c>
      <c r="D14" s="78">
        <v>187000</v>
      </c>
      <c r="E14" s="78">
        <v>221000</v>
      </c>
      <c r="F14" s="78">
        <v>250000</v>
      </c>
      <c r="G14" s="22">
        <f t="shared" si="0"/>
        <v>779000</v>
      </c>
      <c r="H14" s="22">
        <f t="shared" si="1"/>
        <v>45423.998437674381</v>
      </c>
      <c r="I14" s="22">
        <f t="shared" si="3"/>
        <v>733576.00156232563</v>
      </c>
    </row>
    <row r="15" spans="1:9" ht="15.75" customHeight="1" x14ac:dyDescent="0.25">
      <c r="A15" s="7">
        <f t="shared" si="2"/>
        <v>2030</v>
      </c>
      <c r="B15" s="77">
        <v>38599.584000000003</v>
      </c>
      <c r="C15" s="78">
        <v>122000</v>
      </c>
      <c r="D15" s="78">
        <v>192000</v>
      </c>
      <c r="E15" s="78">
        <v>213000</v>
      </c>
      <c r="F15" s="78">
        <v>249000</v>
      </c>
      <c r="G15" s="22">
        <f t="shared" si="0"/>
        <v>776000</v>
      </c>
      <c r="H15" s="22">
        <f t="shared" si="1"/>
        <v>44869.880593683738</v>
      </c>
      <c r="I15" s="22">
        <f t="shared" si="3"/>
        <v>731130.11940631631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>
        <v>110</v>
      </c>
      <c r="C17" s="77"/>
      <c r="D17" s="78"/>
      <c r="E17" s="78"/>
      <c r="F17" s="78"/>
      <c r="G17" s="22">
        <f t="shared" si="0"/>
        <v>0</v>
      </c>
      <c r="H17" s="22">
        <f t="shared" si="1"/>
        <v>127.86891343972027</v>
      </c>
      <c r="I17" s="22">
        <f t="shared" si="4"/>
        <v>-127.86891343972027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14" sqref="C14"/>
    </sheetView>
  </sheetViews>
  <sheetFormatPr defaultColWidth="14.453125" defaultRowHeight="15.75" customHeight="1" x14ac:dyDescent="0.25"/>
  <cols>
    <col min="1" max="1" width="16.1796875" customWidth="1"/>
    <col min="2" max="2" width="31.26953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27.75" customHeight="1" x14ac:dyDescent="0.3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4.6321177500000003E-3</v>
      </c>
    </row>
    <row r="4" spans="1:8" ht="15.75" customHeight="1" x14ac:dyDescent="0.25">
      <c r="B4" s="24" t="s">
        <v>7</v>
      </c>
      <c r="C4" s="79">
        <v>8.8407986547517525E-2</v>
      </c>
    </row>
    <row r="5" spans="1:8" ht="15.75" customHeight="1" x14ac:dyDescent="0.25">
      <c r="B5" s="24" t="s">
        <v>8</v>
      </c>
      <c r="C5" s="79">
        <v>1.3578150880477681E-2</v>
      </c>
    </row>
    <row r="6" spans="1:8" ht="15.75" customHeight="1" x14ac:dyDescent="0.25">
      <c r="B6" s="24" t="s">
        <v>10</v>
      </c>
      <c r="C6" s="79">
        <v>6.2974783832018877E-2</v>
      </c>
    </row>
    <row r="7" spans="1:8" ht="15.75" customHeight="1" x14ac:dyDescent="0.25">
      <c r="B7" s="24" t="s">
        <v>13</v>
      </c>
      <c r="C7" s="79">
        <v>0.31819950208265746</v>
      </c>
    </row>
    <row r="8" spans="1:8" ht="15.75" customHeight="1" x14ac:dyDescent="0.25">
      <c r="B8" s="24" t="s">
        <v>14</v>
      </c>
      <c r="C8" s="79">
        <v>3.2071815739466771E-5</v>
      </c>
    </row>
    <row r="9" spans="1:8" ht="15.75" customHeight="1" x14ac:dyDescent="0.25">
      <c r="B9" s="24" t="s">
        <v>27</v>
      </c>
      <c r="C9" s="79">
        <v>0.24607526655001627</v>
      </c>
    </row>
    <row r="10" spans="1:8" ht="15.75" customHeight="1" x14ac:dyDescent="0.25">
      <c r="B10" s="24" t="s">
        <v>15</v>
      </c>
      <c r="C10" s="79">
        <v>0.26610012054157273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3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3.5763174111639297E-2</v>
      </c>
      <c r="D14" s="79">
        <v>3.5763174111639297E-2</v>
      </c>
      <c r="E14" s="79">
        <v>4.1192350781227302E-3</v>
      </c>
      <c r="F14" s="79">
        <v>4.1192350781227302E-3</v>
      </c>
    </row>
    <row r="15" spans="1:8" ht="15.75" customHeight="1" x14ac:dyDescent="0.25">
      <c r="B15" s="24" t="s">
        <v>16</v>
      </c>
      <c r="C15" s="79">
        <v>5.1638078273952101E-2</v>
      </c>
      <c r="D15" s="79">
        <v>5.1638078273952101E-2</v>
      </c>
      <c r="E15" s="79">
        <v>4.7573401633379697E-2</v>
      </c>
      <c r="F15" s="79">
        <v>4.7573401633379697E-2</v>
      </c>
    </row>
    <row r="16" spans="1:8" ht="15.75" customHeight="1" x14ac:dyDescent="0.25">
      <c r="B16" s="24" t="s">
        <v>17</v>
      </c>
      <c r="C16" s="79">
        <v>1.38610241957609E-2</v>
      </c>
      <c r="D16" s="79">
        <v>1.38610241957609E-2</v>
      </c>
      <c r="E16" s="79">
        <v>1.2299579378108797E-2</v>
      </c>
      <c r="F16" s="79">
        <v>1.2299579378108797E-2</v>
      </c>
    </row>
    <row r="17" spans="1:8" ht="15.75" customHeight="1" x14ac:dyDescent="0.25">
      <c r="B17" s="24" t="s">
        <v>18</v>
      </c>
      <c r="C17" s="79">
        <v>2.6369120653996999E-7</v>
      </c>
      <c r="D17" s="79">
        <v>2.6369120653996999E-7</v>
      </c>
      <c r="E17" s="79">
        <v>1.4718898234581401E-6</v>
      </c>
      <c r="F17" s="79">
        <v>1.4718898234581401E-6</v>
      </c>
    </row>
    <row r="18" spans="1:8" ht="15.75" customHeight="1" x14ac:dyDescent="0.25">
      <c r="B18" s="24" t="s">
        <v>19</v>
      </c>
      <c r="C18" s="79">
        <v>0</v>
      </c>
      <c r="D18" s="79">
        <v>0</v>
      </c>
      <c r="E18" s="79">
        <v>0</v>
      </c>
      <c r="F18" s="79">
        <v>0</v>
      </c>
    </row>
    <row r="19" spans="1:8" ht="15.75" customHeight="1" x14ac:dyDescent="0.25">
      <c r="B19" s="24" t="s">
        <v>20</v>
      </c>
      <c r="C19" s="79">
        <v>1.52901905890764E-3</v>
      </c>
      <c r="D19" s="79">
        <v>1.52901905890764E-3</v>
      </c>
      <c r="E19" s="79">
        <v>4.5463382942658603E-4</v>
      </c>
      <c r="F19" s="79">
        <v>4.5463382942658603E-4</v>
      </c>
    </row>
    <row r="20" spans="1:8" ht="15.75" customHeight="1" x14ac:dyDescent="0.25">
      <c r="B20" s="24" t="s">
        <v>21</v>
      </c>
      <c r="C20" s="79">
        <v>6.3684191261989898E-3</v>
      </c>
      <c r="D20" s="79">
        <v>6.3684191261989898E-3</v>
      </c>
      <c r="E20" s="79">
        <v>6.9701419407247897E-3</v>
      </c>
      <c r="F20" s="79">
        <v>6.9701419407247897E-3</v>
      </c>
    </row>
    <row r="21" spans="1:8" ht="15.75" customHeight="1" x14ac:dyDescent="0.25">
      <c r="B21" s="24" t="s">
        <v>22</v>
      </c>
      <c r="C21" s="79">
        <v>0.19674431279108501</v>
      </c>
      <c r="D21" s="79">
        <v>0.19674431279108501</v>
      </c>
      <c r="E21" s="79">
        <v>0.49457664535427098</v>
      </c>
      <c r="F21" s="79">
        <v>0.49457664535427098</v>
      </c>
    </row>
    <row r="22" spans="1:8" ht="15.75" customHeight="1" x14ac:dyDescent="0.25">
      <c r="B22" s="24" t="s">
        <v>23</v>
      </c>
      <c r="C22" s="79">
        <v>0.69409570875124948</v>
      </c>
      <c r="D22" s="79">
        <v>0.69409570875124948</v>
      </c>
      <c r="E22" s="79">
        <v>0.43400489089614291</v>
      </c>
      <c r="F22" s="79">
        <v>0.43400489089614291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3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3.5099999999999999E-2</v>
      </c>
    </row>
    <row r="27" spans="1:8" ht="15.75" customHeight="1" x14ac:dyDescent="0.25">
      <c r="B27" s="24" t="s">
        <v>39</v>
      </c>
      <c r="C27" s="79">
        <v>3.0299999999999997E-2</v>
      </c>
    </row>
    <row r="28" spans="1:8" ht="15.75" customHeight="1" x14ac:dyDescent="0.25">
      <c r="B28" s="24" t="s">
        <v>40</v>
      </c>
      <c r="C28" s="79">
        <v>4.2500000000000003E-2</v>
      </c>
    </row>
    <row r="29" spans="1:8" ht="15.75" customHeight="1" x14ac:dyDescent="0.25">
      <c r="B29" s="24" t="s">
        <v>41</v>
      </c>
      <c r="C29" s="79">
        <v>0.1144</v>
      </c>
    </row>
    <row r="30" spans="1:8" ht="15.75" customHeight="1" x14ac:dyDescent="0.25">
      <c r="B30" s="24" t="s">
        <v>42</v>
      </c>
      <c r="C30" s="79">
        <v>6.6100000000000006E-2</v>
      </c>
    </row>
    <row r="31" spans="1:8" ht="15.75" customHeight="1" x14ac:dyDescent="0.25">
      <c r="B31" s="24" t="s">
        <v>43</v>
      </c>
      <c r="C31" s="79">
        <v>4.99E-2</v>
      </c>
    </row>
    <row r="32" spans="1:8" ht="15.75" customHeight="1" x14ac:dyDescent="0.25">
      <c r="B32" s="24" t="s">
        <v>44</v>
      </c>
      <c r="C32" s="79">
        <v>0.10150000000000001</v>
      </c>
    </row>
    <row r="33" spans="2:3" ht="15.75" customHeight="1" x14ac:dyDescent="0.25">
      <c r="B33" s="24" t="s">
        <v>45</v>
      </c>
      <c r="C33" s="79">
        <v>0.24299999999999999</v>
      </c>
    </row>
    <row r="34" spans="2:3" ht="15.75" customHeight="1" x14ac:dyDescent="0.25">
      <c r="B34" s="24" t="s">
        <v>46</v>
      </c>
      <c r="C34" s="79">
        <v>0.31719999999776483</v>
      </c>
    </row>
    <row r="35" spans="2:3" ht="15.75" customHeight="1" x14ac:dyDescent="0.25">
      <c r="B35" s="32" t="s">
        <v>129</v>
      </c>
      <c r="C35" s="74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F14" sqref="F14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7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0.75247484841679757</v>
      </c>
      <c r="D2" s="80">
        <v>0.75247484841679757</v>
      </c>
      <c r="E2" s="80">
        <v>0.76196392136590996</v>
      </c>
      <c r="F2" s="80">
        <v>0.6476564614622875</v>
      </c>
      <c r="G2" s="80">
        <v>0.63862468350321355</v>
      </c>
    </row>
    <row r="3" spans="1:15" ht="15.75" customHeight="1" x14ac:dyDescent="0.25">
      <c r="A3" s="5"/>
      <c r="B3" s="11" t="s">
        <v>118</v>
      </c>
      <c r="C3" s="80">
        <v>0.18173748035032561</v>
      </c>
      <c r="D3" s="80">
        <v>0.18173748035032561</v>
      </c>
      <c r="E3" s="80">
        <v>0.15831690055189818</v>
      </c>
      <c r="F3" s="80">
        <v>0.22076819607195905</v>
      </c>
      <c r="G3" s="80">
        <v>0.22515613841459456</v>
      </c>
    </row>
    <row r="4" spans="1:15" ht="15.75" customHeight="1" x14ac:dyDescent="0.25">
      <c r="A4" s="5"/>
      <c r="B4" s="11" t="s">
        <v>116</v>
      </c>
      <c r="C4" s="81">
        <v>4.0246575342465764E-2</v>
      </c>
      <c r="D4" s="81">
        <v>4.0246575342465764E-2</v>
      </c>
      <c r="E4" s="81">
        <v>4.0246575342465764E-2</v>
      </c>
      <c r="F4" s="81">
        <v>6.8883561643835634E-2</v>
      </c>
      <c r="G4" s="81">
        <v>6.8883561643835634E-2</v>
      </c>
    </row>
    <row r="5" spans="1:15" ht="15.75" customHeight="1" x14ac:dyDescent="0.25">
      <c r="A5" s="5"/>
      <c r="B5" s="11" t="s">
        <v>119</v>
      </c>
      <c r="C5" s="81">
        <v>2.554109589041096E-2</v>
      </c>
      <c r="D5" s="81">
        <v>2.554109589041096E-2</v>
      </c>
      <c r="E5" s="81">
        <v>3.9472602739726026E-2</v>
      </c>
      <c r="F5" s="81">
        <v>6.2691780821917828E-2</v>
      </c>
      <c r="G5" s="81">
        <v>6.7335616438356172E-2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0.88439599555061177</v>
      </c>
      <c r="D8" s="80">
        <v>0.88439599555061177</v>
      </c>
      <c r="E8" s="80">
        <v>0.93861635220125783</v>
      </c>
      <c r="F8" s="80">
        <v>0.95925150905432599</v>
      </c>
      <c r="G8" s="80">
        <v>0.95378505629477983</v>
      </c>
    </row>
    <row r="9" spans="1:15" ht="15.75" customHeight="1" x14ac:dyDescent="0.25">
      <c r="B9" s="7" t="s">
        <v>121</v>
      </c>
      <c r="C9" s="80">
        <v>9.9604004449388203E-2</v>
      </c>
      <c r="D9" s="80">
        <v>9.9604004449388203E-2</v>
      </c>
      <c r="E9" s="80">
        <v>4.5383647798742127E-2</v>
      </c>
      <c r="F9" s="80">
        <v>2.4748490945674044E-2</v>
      </c>
      <c r="G9" s="80">
        <v>3.021494370522006E-2</v>
      </c>
    </row>
    <row r="10" spans="1:15" ht="15.75" customHeight="1" x14ac:dyDescent="0.25">
      <c r="B10" s="7" t="s">
        <v>122</v>
      </c>
      <c r="C10" s="81">
        <v>9.999999800000001E-3</v>
      </c>
      <c r="D10" s="81">
        <v>9.999999800000001E-3</v>
      </c>
      <c r="E10" s="81">
        <v>9.999999800000001E-3</v>
      </c>
      <c r="F10" s="81">
        <v>9.999999800000001E-3</v>
      </c>
      <c r="G10" s="81">
        <v>9.999999800000001E-3</v>
      </c>
    </row>
    <row r="11" spans="1:15" ht="15.75" customHeight="1" x14ac:dyDescent="0.25">
      <c r="B11" s="7" t="s">
        <v>123</v>
      </c>
      <c r="C11" s="81">
        <v>6.0000001999999993E-3</v>
      </c>
      <c r="D11" s="81">
        <v>6.0000001999999993E-3</v>
      </c>
      <c r="E11" s="81">
        <v>6.0000001999999993E-3</v>
      </c>
      <c r="F11" s="81">
        <v>6.0000001999999993E-3</v>
      </c>
      <c r="G11" s="81">
        <v>6.0000001999999993E-3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0.11741428549999998</v>
      </c>
      <c r="D14" s="82">
        <v>0.104521495984</v>
      </c>
      <c r="E14" s="82">
        <v>0.104521495984</v>
      </c>
      <c r="F14" s="82">
        <v>7.1872665149799994E-2</v>
      </c>
      <c r="G14" s="82">
        <v>7.1872665149799994E-2</v>
      </c>
      <c r="H14" s="83">
        <v>0.30099999999999999</v>
      </c>
      <c r="I14" s="83">
        <v>0.30099999999999999</v>
      </c>
      <c r="J14" s="83">
        <v>0.30099999999999999</v>
      </c>
      <c r="K14" s="83">
        <v>0.30099999999999999</v>
      </c>
      <c r="L14" s="83">
        <v>8.2021083731800004E-2</v>
      </c>
      <c r="M14" s="83">
        <v>5.9779552035899998E-2</v>
      </c>
      <c r="N14" s="83">
        <v>9.0776012303949993E-2</v>
      </c>
      <c r="O14" s="83">
        <v>0.11716583164099999</v>
      </c>
    </row>
    <row r="15" spans="1:15" ht="15.75" customHeight="1" x14ac:dyDescent="0.25">
      <c r="B15" s="16" t="s">
        <v>68</v>
      </c>
      <c r="C15" s="80">
        <f>iron_deficiency_anaemia*C14</f>
        <v>6.4942202290439371E-2</v>
      </c>
      <c r="D15" s="80">
        <f t="shared" ref="D15:O15" si="0">iron_deficiency_anaemia*D14</f>
        <v>5.7811160771337952E-2</v>
      </c>
      <c r="E15" s="80">
        <f t="shared" si="0"/>
        <v>5.7811160771337952E-2</v>
      </c>
      <c r="F15" s="80">
        <f t="shared" si="0"/>
        <v>3.9752992060845302E-2</v>
      </c>
      <c r="G15" s="80">
        <f t="shared" si="0"/>
        <v>3.9752992060845302E-2</v>
      </c>
      <c r="H15" s="80">
        <f t="shared" si="0"/>
        <v>0.16648402539929652</v>
      </c>
      <c r="I15" s="80">
        <f t="shared" si="0"/>
        <v>0.16648402539929652</v>
      </c>
      <c r="J15" s="80">
        <f t="shared" si="0"/>
        <v>0.16648402539929652</v>
      </c>
      <c r="K15" s="80">
        <f t="shared" si="0"/>
        <v>0.16648402539929652</v>
      </c>
      <c r="L15" s="80">
        <f t="shared" si="0"/>
        <v>4.5366113579012685E-2</v>
      </c>
      <c r="M15" s="80">
        <f t="shared" si="0"/>
        <v>3.3064254018283529E-2</v>
      </c>
      <c r="N15" s="80">
        <f t="shared" si="0"/>
        <v>5.020849148856367E-2</v>
      </c>
      <c r="O15" s="80">
        <f t="shared" si="0"/>
        <v>6.4804781697175878E-2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E3" sqref="E3"/>
    </sheetView>
  </sheetViews>
  <sheetFormatPr defaultColWidth="8.81640625" defaultRowHeight="12.5" x14ac:dyDescent="0.25"/>
  <cols>
    <col min="1" max="1" width="28.81640625" customWidth="1"/>
    <col min="2" max="7" width="13.453125" customWidth="1"/>
  </cols>
  <sheetData>
    <row r="1" spans="1:7" ht="40.5" customHeight="1" x14ac:dyDescent="0.3">
      <c r="A1" s="27" t="str">
        <f>"Percentage of children in each category in baseline year ("&amp;start_year&amp;")"</f>
        <v>Percentage of children in each category in baseline year (2017)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0.17899999999999999</v>
      </c>
      <c r="D2" s="81">
        <v>0.111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0.16899999999999998</v>
      </c>
      <c r="D3" s="81">
        <v>0.16800000000000001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0.52700000000000002</v>
      </c>
      <c r="D4" s="81">
        <v>0.39700000000000002</v>
      </c>
      <c r="E4" s="81">
        <v>0.51600000000000001</v>
      </c>
      <c r="F4" s="81">
        <v>0.30099999999999999</v>
      </c>
      <c r="G4" s="81">
        <v>0</v>
      </c>
    </row>
    <row r="5" spans="1:7" x14ac:dyDescent="0.25">
      <c r="B5" s="43" t="s">
        <v>169</v>
      </c>
      <c r="C5" s="80">
        <f>1-SUM(C2:C4)</f>
        <v>0.125</v>
      </c>
      <c r="D5" s="80">
        <f>1-SUM(D2:D4)</f>
        <v>0.32399999999999995</v>
      </c>
      <c r="E5" s="80">
        <f>1-SUM(E2:E4)</f>
        <v>0.48399999999999999</v>
      </c>
      <c r="F5" s="80">
        <f>1-SUM(F2:F4)</f>
        <v>0.69900000000000007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zoomScale="110" zoomScaleNormal="110" workbookViewId="0">
      <selection activeCell="C4" sqref="C4"/>
    </sheetView>
  </sheetViews>
  <sheetFormatPr defaultColWidth="8.81640625" defaultRowHeight="12.5" x14ac:dyDescent="0.25"/>
  <cols>
    <col min="1" max="1" width="37" customWidth="1"/>
    <col min="2" max="2" width="29.453125" customWidth="1"/>
  </cols>
  <sheetData>
    <row r="1" spans="1:16" ht="13" x14ac:dyDescent="0.3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0.12060999999999999</v>
      </c>
      <c r="D2" s="144">
        <v>0.11867000000000001</v>
      </c>
      <c r="E2" s="144">
        <v>0.11679</v>
      </c>
      <c r="F2" s="144">
        <v>0.11496000000000001</v>
      </c>
      <c r="G2" s="144">
        <v>0.11320000000000001</v>
      </c>
      <c r="H2" s="144">
        <v>0.11151</v>
      </c>
      <c r="I2" s="144">
        <v>0.10986000000000001</v>
      </c>
      <c r="J2" s="144">
        <v>0.10826000000000001</v>
      </c>
      <c r="K2" s="144">
        <v>0.10671</v>
      </c>
      <c r="L2" s="144">
        <v>0.10522000000000001</v>
      </c>
      <c r="M2" s="144">
        <v>0.10378</v>
      </c>
      <c r="N2" s="144">
        <v>0.10239000000000001</v>
      </c>
      <c r="O2" s="144">
        <v>0.10105</v>
      </c>
      <c r="P2" s="144">
        <v>9.9749999999999991E-2</v>
      </c>
    </row>
    <row r="3" spans="1:16" x14ac:dyDescent="0.25">
      <c r="B3" s="14"/>
      <c r="C3" s="142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</row>
    <row r="4" spans="1:16" x14ac:dyDescent="0.25">
      <c r="A4" t="s">
        <v>140</v>
      </c>
      <c r="B4" s="14" t="s">
        <v>143</v>
      </c>
      <c r="C4" s="28">
        <v>1.9619999999999999E-2</v>
      </c>
      <c r="D4" s="144">
        <v>1.9370000000000002E-2</v>
      </c>
      <c r="E4" s="144">
        <v>1.916E-2</v>
      </c>
      <c r="F4" s="144">
        <v>1.8959999999999998E-2</v>
      </c>
      <c r="G4" s="144">
        <v>1.8769999999999998E-2</v>
      </c>
      <c r="H4" s="144">
        <v>1.8489999999999999E-2</v>
      </c>
      <c r="I4" s="144">
        <v>1.823E-2</v>
      </c>
      <c r="J4" s="144">
        <v>1.7989999999999999E-2</v>
      </c>
      <c r="K4" s="144">
        <v>1.7760000000000001E-2</v>
      </c>
      <c r="L4" s="144">
        <v>1.7559999999999999E-2</v>
      </c>
      <c r="M4" s="144">
        <v>1.738E-2</v>
      </c>
      <c r="N4" s="144">
        <v>1.7219999999999999E-2</v>
      </c>
      <c r="O4" s="144">
        <v>1.7049999999999999E-2</v>
      </c>
      <c r="P4" s="144">
        <v>1.6879999999999999E-2</v>
      </c>
    </row>
    <row r="5" spans="1:16" x14ac:dyDescent="0.25">
      <c r="B5" s="14"/>
      <c r="C5" s="142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x14ac:dyDescent="0.25">
      <c r="A6" t="s">
        <v>141</v>
      </c>
      <c r="B6" s="14" t="s">
        <v>143</v>
      </c>
      <c r="C6" s="28">
        <f>('Nutritional status distribution'!C15+5*'Nutritional status distribution'!D15+6*'Nutritional status distribution'!E15+12*'Nutritional status distribution'!F15+36*'Nutritional status distribution'!G15)/60</f>
        <v>4.3483476494928862E-2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</row>
    <row r="7" spans="1:16" x14ac:dyDescent="0.25">
      <c r="B7" s="14" t="s">
        <v>32</v>
      </c>
      <c r="C7" s="28">
        <f>('Nutritional status distribution'!H15 + 2*'Nutritional status distribution'!I15+2*'Nutritional status distribution'!J15+2*'Nutritional status distribution'!K15)/7</f>
        <v>0.16648402539929652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</row>
    <row r="8" spans="1:16" x14ac:dyDescent="0.25">
      <c r="B8" s="14" t="s">
        <v>144</v>
      </c>
      <c r="C8" s="28">
        <f>('Nutritional status distribution'!L15+2*'Nutritional status distribution'!M15+2*'Nutritional status distribution'!N15+2*'Nutritional status distribution'!O15)/7</f>
        <v>4.8788738283865547E-2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</row>
    <row r="9" spans="1:16" x14ac:dyDescent="0.25">
      <c r="C9" s="142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</row>
    <row r="10" spans="1:16" x14ac:dyDescent="0.25">
      <c r="A10" t="s">
        <v>142</v>
      </c>
      <c r="B10" s="16" t="s">
        <v>147</v>
      </c>
      <c r="C10" s="28">
        <f>('Breastfeeding distribution'!C2 + 5*'Breastfeeding distribution'!D2)/6</f>
        <v>0.12233333333333334</v>
      </c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</row>
    <row r="11" spans="1:16" x14ac:dyDescent="0.25">
      <c r="B11" s="34" t="s">
        <v>146</v>
      </c>
      <c r="C11" s="28">
        <f>('Breastfeeding distribution'!E4+2*'Breastfeeding distribution'!F4)/3</f>
        <v>0.37266666666666665</v>
      </c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</row>
    <row r="12" spans="1:16" x14ac:dyDescent="0.25">
      <c r="C12" s="142"/>
    </row>
    <row r="13" spans="1:16" x14ac:dyDescent="0.25">
      <c r="A13" s="12" t="s">
        <v>74</v>
      </c>
      <c r="B13" s="34" t="s">
        <v>148</v>
      </c>
      <c r="C13" s="143">
        <v>11.065</v>
      </c>
      <c r="D13" s="143">
        <v>10.634</v>
      </c>
      <c r="E13" s="143">
        <v>10.222</v>
      </c>
      <c r="F13" s="143">
        <v>9.859</v>
      </c>
      <c r="G13" s="143">
        <v>9.5090000000000003</v>
      </c>
      <c r="H13" s="143">
        <v>9.1890000000000001</v>
      </c>
      <c r="I13" s="143">
        <v>8.8870000000000005</v>
      </c>
      <c r="J13" s="143">
        <v>8.6110000000000007</v>
      </c>
      <c r="K13" s="143">
        <v>8.3539999999999992</v>
      </c>
      <c r="L13" s="143">
        <v>8.0969999999999995</v>
      </c>
      <c r="M13" s="143">
        <v>7.8789999999999996</v>
      </c>
      <c r="N13" s="143">
        <v>7.6429999999999998</v>
      </c>
      <c r="O13" s="143">
        <v>7.4359999999999999</v>
      </c>
      <c r="P13" s="143">
        <v>7.2320000000000002</v>
      </c>
    </row>
    <row r="14" spans="1:16" x14ac:dyDescent="0.25">
      <c r="B14" s="16" t="s">
        <v>170</v>
      </c>
      <c r="C14" s="143">
        <f>maternal_mortality</f>
        <v>0.36</v>
      </c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</row>
  </sheetData>
  <pageMargins left="0.7" right="0.7" top="0.75" bottom="0.75" header="0.3" footer="0.3"/>
  <pageSetup paperSize="193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3" sqref="D3"/>
    </sheetView>
  </sheetViews>
  <sheetFormatPr defaultColWidth="11.453125" defaultRowHeight="12.5" x14ac:dyDescent="0.25"/>
  <cols>
    <col min="1" max="1" width="17" style="35" customWidth="1"/>
    <col min="2" max="2" width="19.1796875" style="35" customWidth="1"/>
    <col min="3" max="3" width="13.453125" style="35" customWidth="1"/>
    <col min="4" max="16384" width="11.453125" style="35"/>
  </cols>
  <sheetData>
    <row r="1" spans="1:5" ht="13" x14ac:dyDescent="0.3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ht="13" x14ac:dyDescent="0.3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/>
      <c r="D3" s="84" t="s">
        <v>194</v>
      </c>
      <c r="E3" s="61" t="str">
        <f>IF(E$7="","",E$7)</f>
        <v/>
      </c>
    </row>
    <row r="4" spans="1:5" x14ac:dyDescent="0.25">
      <c r="A4" s="47"/>
      <c r="B4" s="46" t="s">
        <v>2</v>
      </c>
      <c r="C4" s="84"/>
      <c r="D4" s="84" t="s">
        <v>194</v>
      </c>
      <c r="E4" s="61" t="str">
        <f>IF(E$7="","",E$7)</f>
        <v/>
      </c>
    </row>
    <row r="5" spans="1:5" x14ac:dyDescent="0.25">
      <c r="A5" s="47"/>
      <c r="B5" s="46" t="s">
        <v>3</v>
      </c>
      <c r="C5" s="84"/>
      <c r="D5" s="84" t="s">
        <v>194</v>
      </c>
      <c r="E5" s="61" t="str">
        <f>IF(E$7="","",E$7)</f>
        <v/>
      </c>
    </row>
    <row r="6" spans="1:5" x14ac:dyDescent="0.25">
      <c r="A6" s="47"/>
      <c r="B6" s="46" t="s">
        <v>4</v>
      </c>
      <c r="C6" s="84"/>
      <c r="D6" s="84" t="s">
        <v>194</v>
      </c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ht="13" x14ac:dyDescent="0.3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/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/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/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ht="13" x14ac:dyDescent="0.3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 t="s">
        <v>194</v>
      </c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1640625" defaultRowHeight="12.5" x14ac:dyDescent="0.25"/>
  <cols>
    <col min="1" max="1" width="15.7265625" customWidth="1"/>
    <col min="2" max="2" width="15.453125" customWidth="1"/>
    <col min="3" max="3" width="17.453125" customWidth="1"/>
    <col min="4" max="4" width="12.81640625" customWidth="1"/>
  </cols>
  <sheetData>
    <row r="1" spans="1:4" ht="13" x14ac:dyDescent="0.3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ht="13" x14ac:dyDescent="0.3">
      <c r="A2" s="65" t="s">
        <v>69</v>
      </c>
      <c r="B2" s="46" t="s">
        <v>67</v>
      </c>
      <c r="C2" s="46" t="s">
        <v>183</v>
      </c>
      <c r="D2" s="84"/>
    </row>
    <row r="3" spans="1:4" ht="13" x14ac:dyDescent="0.3">
      <c r="A3" s="65" t="s">
        <v>185</v>
      </c>
      <c r="B3" s="46" t="s">
        <v>176</v>
      </c>
      <c r="C3" s="46" t="s">
        <v>184</v>
      </c>
      <c r="D3" s="84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39"/>
  <sheetViews>
    <sheetView zoomScale="85" zoomScaleNormal="118" workbookViewId="0">
      <selection activeCell="E29" sqref="E29"/>
    </sheetView>
  </sheetViews>
  <sheetFormatPr defaultColWidth="14.453125" defaultRowHeight="15.75" customHeight="1" x14ac:dyDescent="0.25"/>
  <cols>
    <col min="1" max="1" width="20" bestFit="1" customWidth="1"/>
    <col min="2" max="2" width="45.81640625" customWidth="1"/>
    <col min="3" max="3" width="8.453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17968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1" t="s">
        <v>61</v>
      </c>
      <c r="C2" s="92">
        <v>0</v>
      </c>
      <c r="D2" s="92">
        <f>food_insecure</f>
        <v>0.21899999999999997</v>
      </c>
      <c r="E2" s="92">
        <f>food_insecure</f>
        <v>0.21899999999999997</v>
      </c>
      <c r="F2" s="92">
        <f>food_insecure</f>
        <v>0.21899999999999997</v>
      </c>
      <c r="G2" s="92">
        <f>food_insecure</f>
        <v>0.21899999999999997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0</v>
      </c>
    </row>
    <row r="3" spans="1:15" ht="15.75" customHeight="1" x14ac:dyDescent="0.25">
      <c r="B3" s="7" t="s">
        <v>149</v>
      </c>
      <c r="C3" s="92">
        <v>1</v>
      </c>
      <c r="D3" s="92">
        <v>0</v>
      </c>
      <c r="E3" s="92">
        <v>0</v>
      </c>
      <c r="F3" s="92">
        <v>0</v>
      </c>
      <c r="G3" s="92">
        <v>0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</row>
    <row r="4" spans="1:15" ht="15.75" customHeight="1" x14ac:dyDescent="0.25">
      <c r="B4" s="7" t="s">
        <v>196</v>
      </c>
      <c r="C4" s="92">
        <v>1</v>
      </c>
      <c r="D4" s="92">
        <v>0</v>
      </c>
      <c r="E4" s="92">
        <v>0</v>
      </c>
      <c r="F4" s="92">
        <v>0</v>
      </c>
      <c r="G4" s="92">
        <v>0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</row>
    <row r="5" spans="1:15" ht="15.75" customHeight="1" x14ac:dyDescent="0.25">
      <c r="B5" s="11" t="s">
        <v>136</v>
      </c>
      <c r="C5" s="92">
        <v>0</v>
      </c>
      <c r="D5" s="92">
        <v>0</v>
      </c>
      <c r="E5" s="92">
        <f>food_insecure</f>
        <v>0.21899999999999997</v>
      </c>
      <c r="F5" s="92">
        <f>food_insecure</f>
        <v>0.21899999999999997</v>
      </c>
      <c r="G5" s="92">
        <v>0</v>
      </c>
      <c r="H5" s="93">
        <v>0</v>
      </c>
      <c r="I5" s="93">
        <v>0</v>
      </c>
      <c r="J5" s="93">
        <v>0</v>
      </c>
      <c r="K5" s="93">
        <v>0</v>
      </c>
      <c r="L5" s="93">
        <v>0</v>
      </c>
      <c r="M5" s="93">
        <v>0</v>
      </c>
      <c r="N5" s="93">
        <v>0</v>
      </c>
      <c r="O5" s="93">
        <v>0</v>
      </c>
    </row>
    <row r="6" spans="1:15" ht="15.75" customHeight="1" x14ac:dyDescent="0.25">
      <c r="B6" s="11" t="s">
        <v>137</v>
      </c>
      <c r="C6" s="92">
        <v>0</v>
      </c>
      <c r="D6" s="92">
        <v>0</v>
      </c>
      <c r="E6" s="92">
        <f>1</f>
        <v>1</v>
      </c>
      <c r="F6" s="92">
        <f>1</f>
        <v>1</v>
      </c>
      <c r="G6" s="92">
        <f>1</f>
        <v>1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</row>
    <row r="7" spans="1:15" ht="15.75" customHeight="1" x14ac:dyDescent="0.25">
      <c r="B7" s="33" t="s">
        <v>84</v>
      </c>
      <c r="C7" s="92">
        <f>diarrhoea_1mo/26</f>
        <v>2.3366749363798074E-2</v>
      </c>
      <c r="D7" s="92">
        <f>diarrhoea_1_5mo/26</f>
        <v>2.0785356085576925E-2</v>
      </c>
      <c r="E7" s="92">
        <f>diarrhoea_6_11mo/26</f>
        <v>2.0785356085576925E-2</v>
      </c>
      <c r="F7" s="92">
        <f>diarrhoea_12_23mo/26</f>
        <v>1.9956338805884617E-2</v>
      </c>
      <c r="G7" s="92">
        <f>diarrhoea_24_59mo/26</f>
        <v>1.9956338805884617E-2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</row>
    <row r="8" spans="1:15" ht="15.75" customHeight="1" x14ac:dyDescent="0.25">
      <c r="B8" s="11" t="s">
        <v>58</v>
      </c>
      <c r="C8" s="92">
        <v>0</v>
      </c>
      <c r="D8" s="92">
        <v>0</v>
      </c>
      <c r="E8" s="92">
        <f>food_insecure</f>
        <v>0.21899999999999997</v>
      </c>
      <c r="F8" s="92">
        <f>food_insecure</f>
        <v>0.21899999999999997</v>
      </c>
      <c r="G8" s="92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</row>
    <row r="9" spans="1:15" ht="15.75" customHeight="1" x14ac:dyDescent="0.25">
      <c r="B9" s="11" t="s">
        <v>67</v>
      </c>
      <c r="C9" s="92">
        <v>0</v>
      </c>
      <c r="D9" s="92">
        <f>IF(ISBLANK(comm_deliv), frac_children_health_facility,1)</f>
        <v>0.74</v>
      </c>
      <c r="E9" s="92">
        <f>IF(ISBLANK(comm_deliv), frac_children_health_facility,1)</f>
        <v>0.74</v>
      </c>
      <c r="F9" s="92">
        <f>IF(ISBLANK(comm_deliv), frac_children_health_facility,1)</f>
        <v>0.74</v>
      </c>
      <c r="G9" s="92">
        <f>IF(ISBLANK(comm_deliv), frac_children_health_facility,1)</f>
        <v>0.74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</row>
    <row r="10" spans="1:15" ht="15" customHeight="1" x14ac:dyDescent="0.25">
      <c r="B10" s="11" t="s">
        <v>28</v>
      </c>
      <c r="C10" s="92">
        <v>0</v>
      </c>
      <c r="D10" s="92">
        <v>0</v>
      </c>
      <c r="E10" s="92">
        <v>1</v>
      </c>
      <c r="F10" s="92">
        <v>1</v>
      </c>
      <c r="G10" s="92">
        <v>1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</row>
    <row r="11" spans="1:15" ht="15.75" customHeight="1" x14ac:dyDescent="0.25">
      <c r="B11" s="33" t="s">
        <v>85</v>
      </c>
      <c r="C11" s="92">
        <f>diarrhoea_1mo/26</f>
        <v>2.3366749363798074E-2</v>
      </c>
      <c r="D11" s="92">
        <f>diarrhoea_1_5mo/26</f>
        <v>2.0785356085576925E-2</v>
      </c>
      <c r="E11" s="92">
        <f>diarrhoea_6_11mo/26</f>
        <v>2.0785356085576925E-2</v>
      </c>
      <c r="F11" s="92">
        <f>diarrhoea_12_23mo/26</f>
        <v>1.9956338805884617E-2</v>
      </c>
      <c r="G11" s="92">
        <f>diarrhoea_24_59mo/26</f>
        <v>1.9956338805884617E-2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</row>
    <row r="12" spans="1:15" ht="15.75" customHeight="1" x14ac:dyDescent="0.25">
      <c r="B12" s="11" t="s">
        <v>60</v>
      </c>
      <c r="C12" s="92">
        <v>0</v>
      </c>
      <c r="D12" s="92">
        <v>0</v>
      </c>
      <c r="E12" s="92">
        <v>1</v>
      </c>
      <c r="F12" s="92">
        <v>1</v>
      </c>
      <c r="G12" s="92">
        <v>1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</row>
    <row r="13" spans="1:15" ht="15.75" customHeight="1" x14ac:dyDescent="0.25">
      <c r="B13" s="33"/>
    </row>
    <row r="14" spans="1:15" ht="15.75" customHeight="1" x14ac:dyDescent="0.3">
      <c r="A14" s="4" t="s">
        <v>32</v>
      </c>
      <c r="B14" s="33" t="s">
        <v>29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2">
        <f>food_insecure</f>
        <v>0.21899999999999997</v>
      </c>
      <c r="I14" s="92">
        <f>food_insecure</f>
        <v>0.21899999999999997</v>
      </c>
      <c r="J14" s="92">
        <f>food_insecure</f>
        <v>0.21899999999999997</v>
      </c>
      <c r="K14" s="92">
        <f>food_insecure</f>
        <v>0.21899999999999997</v>
      </c>
      <c r="L14" s="93">
        <v>0</v>
      </c>
      <c r="M14" s="93">
        <v>0</v>
      </c>
      <c r="N14" s="93">
        <v>0</v>
      </c>
      <c r="O14" s="93">
        <v>0</v>
      </c>
    </row>
    <row r="15" spans="1:15" ht="15.75" customHeight="1" x14ac:dyDescent="0.3">
      <c r="A15" s="4"/>
      <c r="B15" s="11" t="s">
        <v>86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2">
        <v>1</v>
      </c>
      <c r="I15" s="92">
        <v>1</v>
      </c>
      <c r="J15" s="92">
        <v>1</v>
      </c>
      <c r="K15" s="92">
        <v>1</v>
      </c>
      <c r="L15" s="93">
        <v>0</v>
      </c>
      <c r="M15" s="93">
        <v>0</v>
      </c>
      <c r="N15" s="93">
        <v>0</v>
      </c>
      <c r="O15" s="93">
        <v>0</v>
      </c>
    </row>
    <row r="16" spans="1:15" ht="15.75" customHeight="1" x14ac:dyDescent="0.3">
      <c r="A16" s="4"/>
      <c r="B16" s="11" t="s">
        <v>187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2">
        <f xml:space="preserve"> 1</f>
        <v>1</v>
      </c>
      <c r="I16" s="92">
        <f xml:space="preserve"> 1</f>
        <v>1</v>
      </c>
      <c r="J16" s="92">
        <f xml:space="preserve"> 1</f>
        <v>1</v>
      </c>
      <c r="K16" s="92">
        <f xml:space="preserve"> 1</f>
        <v>1</v>
      </c>
      <c r="L16" s="93">
        <v>0</v>
      </c>
      <c r="M16" s="93">
        <v>0</v>
      </c>
      <c r="N16" s="93">
        <v>0</v>
      </c>
      <c r="O16" s="93">
        <v>0</v>
      </c>
    </row>
    <row r="17" spans="1:15" ht="15.75" customHeight="1" x14ac:dyDescent="0.3">
      <c r="A17" s="4"/>
      <c r="B17" s="11" t="s">
        <v>209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2">
        <f>frac_PW_health_facility</f>
        <v>0.88300000000000001</v>
      </c>
      <c r="I17" s="92">
        <f>frac_PW_health_facility</f>
        <v>0.88300000000000001</v>
      </c>
      <c r="J17" s="92">
        <f>frac_PW_health_facility</f>
        <v>0.88300000000000001</v>
      </c>
      <c r="K17" s="92">
        <f>frac_PW_health_facility</f>
        <v>0.88300000000000001</v>
      </c>
      <c r="L17" s="93">
        <v>0</v>
      </c>
      <c r="M17" s="93">
        <v>0</v>
      </c>
      <c r="N17" s="93">
        <v>0</v>
      </c>
      <c r="O17" s="93">
        <v>0</v>
      </c>
    </row>
    <row r="18" spans="1:15" ht="15" customHeight="1" x14ac:dyDescent="0.25">
      <c r="B18" s="33" t="s">
        <v>57</v>
      </c>
      <c r="C18" s="93">
        <v>0</v>
      </c>
      <c r="D18" s="93">
        <v>0</v>
      </c>
      <c r="E18" s="93">
        <v>0</v>
      </c>
      <c r="F18" s="93">
        <v>0</v>
      </c>
      <c r="G18" s="93">
        <v>0</v>
      </c>
      <c r="H18" s="92">
        <f>frac_malaria_risk</f>
        <v>5.0000000000000001E-3</v>
      </c>
      <c r="I18" s="92">
        <f>frac_malaria_risk</f>
        <v>5.0000000000000001E-3</v>
      </c>
      <c r="J18" s="92">
        <f>frac_malaria_risk</f>
        <v>5.0000000000000001E-3</v>
      </c>
      <c r="K18" s="92">
        <f>frac_malaria_risk</f>
        <v>5.0000000000000001E-3</v>
      </c>
      <c r="L18" s="93">
        <v>0</v>
      </c>
      <c r="M18" s="93">
        <v>0</v>
      </c>
      <c r="N18" s="93">
        <v>0</v>
      </c>
      <c r="O18" s="93">
        <v>0</v>
      </c>
    </row>
    <row r="19" spans="1:15" ht="15.75" customHeight="1" x14ac:dyDescent="0.25">
      <c r="B19" s="11" t="s">
        <v>88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2">
        <v>1</v>
      </c>
      <c r="I19" s="92">
        <v>1</v>
      </c>
      <c r="J19" s="92">
        <v>1</v>
      </c>
      <c r="K19" s="92">
        <v>1</v>
      </c>
      <c r="L19" s="93">
        <v>0</v>
      </c>
      <c r="M19" s="93">
        <v>0</v>
      </c>
      <c r="N19" s="93">
        <v>0</v>
      </c>
      <c r="O19" s="93">
        <v>0</v>
      </c>
    </row>
    <row r="20" spans="1:15" ht="15.75" customHeight="1" x14ac:dyDescent="0.25">
      <c r="B20" s="11" t="s">
        <v>87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2">
        <v>1</v>
      </c>
      <c r="I20" s="92">
        <v>1</v>
      </c>
      <c r="J20" s="92">
        <v>1</v>
      </c>
      <c r="K20" s="92">
        <v>1</v>
      </c>
      <c r="L20" s="93">
        <v>0</v>
      </c>
      <c r="M20" s="93">
        <v>0</v>
      </c>
      <c r="N20" s="93">
        <v>0</v>
      </c>
      <c r="O20" s="93">
        <v>0</v>
      </c>
    </row>
    <row r="21" spans="1:15" ht="15.75" customHeight="1" x14ac:dyDescent="0.25">
      <c r="B21" s="33" t="s">
        <v>59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2">
        <f>1</f>
        <v>1</v>
      </c>
      <c r="I21" s="92">
        <f>1</f>
        <v>1</v>
      </c>
      <c r="J21" s="92">
        <f>1</f>
        <v>1</v>
      </c>
      <c r="K21" s="92">
        <f>1</f>
        <v>1</v>
      </c>
      <c r="L21" s="93">
        <v>0</v>
      </c>
      <c r="M21" s="93">
        <v>0</v>
      </c>
      <c r="N21" s="93">
        <v>0</v>
      </c>
      <c r="O21" s="93">
        <v>0</v>
      </c>
    </row>
    <row r="22" spans="1:15" ht="15.75" customHeight="1" x14ac:dyDescent="0.25">
      <c r="B22" s="33"/>
    </row>
    <row r="23" spans="1:15" ht="15.75" customHeight="1" x14ac:dyDescent="0.3">
      <c r="A23" s="62" t="s">
        <v>37</v>
      </c>
      <c r="B23" s="63" t="s">
        <v>198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2">
        <f>famplan_unmet_need</f>
        <v>0.249</v>
      </c>
      <c r="M23" s="92">
        <f>famplan_unmet_need</f>
        <v>0.249</v>
      </c>
      <c r="N23" s="92">
        <f>famplan_unmet_need</f>
        <v>0.249</v>
      </c>
      <c r="O23" s="92">
        <f>famplan_unmet_need</f>
        <v>0.249</v>
      </c>
    </row>
    <row r="24" spans="1:15" ht="15.75" customHeight="1" x14ac:dyDescent="0.25">
      <c r="B24" s="63" t="s">
        <v>188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2">
        <f>(1-food_insecure)*(0.49)*(1-school_attendance) + food_insecure*(0.7)*(1-school_attendance)</f>
        <v>6.0875054435728547E-3</v>
      </c>
      <c r="M24" s="92">
        <f>(1-food_insecure)*(0.49)+food_insecure*(0.7)</f>
        <v>0.53598999999999997</v>
      </c>
      <c r="N24" s="92">
        <f>(1-food_insecure)*(0.49)+food_insecure*(0.7)</f>
        <v>0.53598999999999997</v>
      </c>
      <c r="O24" s="92">
        <f>(1-food_insecure)*(0.49)+food_insecure*(0.7)</f>
        <v>0.53598999999999997</v>
      </c>
    </row>
    <row r="25" spans="1:15" ht="15.75" customHeight="1" x14ac:dyDescent="0.25">
      <c r="B25" s="63" t="s">
        <v>208</v>
      </c>
      <c r="C25" s="93">
        <v>0</v>
      </c>
      <c r="D25" s="93">
        <v>0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  <c r="K25" s="93">
        <v>0</v>
      </c>
      <c r="L25" s="92">
        <f>(1-food_insecure)*(0.21)*(1-school_attendance) + food_insecure*(0.3)*(1-school_attendance)</f>
        <v>2.608930904388366E-3</v>
      </c>
      <c r="M25" s="92">
        <f>(1-food_insecure)*(0.21)+food_insecure*(0.3)</f>
        <v>0.22970999999999997</v>
      </c>
      <c r="N25" s="92">
        <f>(1-food_insecure)*(0.21)+food_insecure*(0.3)</f>
        <v>0.22970999999999997</v>
      </c>
      <c r="O25" s="92">
        <f>(1-food_insecure)*(0.21)+food_insecure*(0.3)</f>
        <v>0.22970999999999997</v>
      </c>
    </row>
    <row r="26" spans="1:15" ht="15.75" customHeight="1" x14ac:dyDescent="0.25">
      <c r="B26" s="63" t="s">
        <v>189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2">
        <f>(1-food_insecure)*(0.3)*(1-school_attendance)</f>
        <v>2.6610618209838245E-3</v>
      </c>
      <c r="M26" s="92">
        <f>(1-food_insecure)*(0.3)</f>
        <v>0.23430000000000001</v>
      </c>
      <c r="N26" s="92">
        <f>(1-food_insecure)*(0.3)</f>
        <v>0.23430000000000001</v>
      </c>
      <c r="O26" s="92">
        <f>(1-food_insecure)*(0.3)</f>
        <v>0.23430000000000001</v>
      </c>
    </row>
    <row r="27" spans="1:15" ht="15.75" customHeight="1" x14ac:dyDescent="0.25">
      <c r="B27" s="63" t="s">
        <v>190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2">
        <f>(1-food_insecure)*1*school_attendance + food_insecure*1*school_attendance</f>
        <v>0.98864250183105495</v>
      </c>
      <c r="M27" s="92">
        <v>0</v>
      </c>
      <c r="N27" s="92">
        <v>0</v>
      </c>
      <c r="O27" s="92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3">
      <c r="A29" s="4" t="s">
        <v>35</v>
      </c>
      <c r="B29" s="11" t="s">
        <v>63</v>
      </c>
      <c r="C29" s="92">
        <v>0</v>
      </c>
      <c r="D29" s="92">
        <v>0</v>
      </c>
      <c r="E29" s="92">
        <f t="shared" ref="E29:O29" si="0">frac_maize</f>
        <v>0.99</v>
      </c>
      <c r="F29" s="92">
        <f t="shared" si="0"/>
        <v>0.99</v>
      </c>
      <c r="G29" s="92">
        <f t="shared" si="0"/>
        <v>0.99</v>
      </c>
      <c r="H29" s="92">
        <f t="shared" si="0"/>
        <v>0.99</v>
      </c>
      <c r="I29" s="92">
        <f t="shared" si="0"/>
        <v>0.99</v>
      </c>
      <c r="J29" s="92">
        <f t="shared" si="0"/>
        <v>0.99</v>
      </c>
      <c r="K29" s="92">
        <f t="shared" si="0"/>
        <v>0.99</v>
      </c>
      <c r="L29" s="92">
        <f t="shared" si="0"/>
        <v>0.99</v>
      </c>
      <c r="M29" s="92">
        <f t="shared" si="0"/>
        <v>0.99</v>
      </c>
      <c r="N29" s="92">
        <f t="shared" si="0"/>
        <v>0.99</v>
      </c>
      <c r="O29" s="92">
        <f t="shared" si="0"/>
        <v>0.99</v>
      </c>
    </row>
    <row r="30" spans="1:15" ht="15.75" customHeight="1" x14ac:dyDescent="0.25">
      <c r="B30" s="11" t="s">
        <v>64</v>
      </c>
      <c r="C30" s="92">
        <v>0</v>
      </c>
      <c r="D30" s="92">
        <v>0</v>
      </c>
      <c r="E30" s="92">
        <f t="shared" ref="E30:O30" si="1">frac_rice</f>
        <v>5.0000000000000001E-3</v>
      </c>
      <c r="F30" s="92">
        <f t="shared" si="1"/>
        <v>5.0000000000000001E-3</v>
      </c>
      <c r="G30" s="92">
        <f t="shared" si="1"/>
        <v>5.0000000000000001E-3</v>
      </c>
      <c r="H30" s="92">
        <f t="shared" si="1"/>
        <v>5.0000000000000001E-3</v>
      </c>
      <c r="I30" s="92">
        <f t="shared" si="1"/>
        <v>5.0000000000000001E-3</v>
      </c>
      <c r="J30" s="92">
        <f t="shared" si="1"/>
        <v>5.0000000000000001E-3</v>
      </c>
      <c r="K30" s="92">
        <f t="shared" si="1"/>
        <v>5.0000000000000001E-3</v>
      </c>
      <c r="L30" s="92">
        <f t="shared" si="1"/>
        <v>5.0000000000000001E-3</v>
      </c>
      <c r="M30" s="92">
        <f t="shared" si="1"/>
        <v>5.0000000000000001E-3</v>
      </c>
      <c r="N30" s="92">
        <f t="shared" si="1"/>
        <v>5.0000000000000001E-3</v>
      </c>
      <c r="O30" s="92">
        <f t="shared" si="1"/>
        <v>5.0000000000000001E-3</v>
      </c>
    </row>
    <row r="31" spans="1:15" ht="15.75" customHeight="1" x14ac:dyDescent="0.25">
      <c r="B31" s="11" t="s">
        <v>62</v>
      </c>
      <c r="C31" s="92">
        <v>0</v>
      </c>
      <c r="D31" s="92">
        <v>0</v>
      </c>
      <c r="E31" s="92">
        <f>frac_wheat</f>
        <v>5.0000000000000001E-3</v>
      </c>
      <c r="F31" s="92">
        <f t="shared" ref="F31:O31" si="2">frac_wheat</f>
        <v>5.0000000000000001E-3</v>
      </c>
      <c r="G31" s="92">
        <f t="shared" si="2"/>
        <v>5.0000000000000001E-3</v>
      </c>
      <c r="H31" s="92">
        <f t="shared" si="2"/>
        <v>5.0000000000000001E-3</v>
      </c>
      <c r="I31" s="92">
        <f t="shared" si="2"/>
        <v>5.0000000000000001E-3</v>
      </c>
      <c r="J31" s="92">
        <f t="shared" si="2"/>
        <v>5.0000000000000001E-3</v>
      </c>
      <c r="K31" s="92">
        <f t="shared" si="2"/>
        <v>5.0000000000000001E-3</v>
      </c>
      <c r="L31" s="92">
        <f t="shared" si="2"/>
        <v>5.0000000000000001E-3</v>
      </c>
      <c r="M31" s="92">
        <f t="shared" si="2"/>
        <v>5.0000000000000001E-3</v>
      </c>
      <c r="N31" s="92">
        <f t="shared" si="2"/>
        <v>5.0000000000000001E-3</v>
      </c>
      <c r="O31" s="92">
        <f t="shared" si="2"/>
        <v>5.0000000000000001E-3</v>
      </c>
    </row>
    <row r="32" spans="1:15" ht="15.75" customHeight="1" x14ac:dyDescent="0.25">
      <c r="B32" s="11" t="s">
        <v>47</v>
      </c>
      <c r="C32" s="92">
        <v>0</v>
      </c>
      <c r="D32" s="92">
        <v>0</v>
      </c>
      <c r="E32" s="92">
        <v>1</v>
      </c>
      <c r="F32" s="92">
        <v>1</v>
      </c>
      <c r="G32" s="92">
        <v>1</v>
      </c>
      <c r="H32" s="92">
        <v>1</v>
      </c>
      <c r="I32" s="92">
        <v>1</v>
      </c>
      <c r="J32" s="92">
        <v>1</v>
      </c>
      <c r="K32" s="92">
        <v>1</v>
      </c>
      <c r="L32" s="92">
        <v>1</v>
      </c>
      <c r="M32" s="92">
        <v>1</v>
      </c>
      <c r="N32" s="92">
        <v>1</v>
      </c>
      <c r="O32" s="92">
        <v>1</v>
      </c>
    </row>
    <row r="33" spans="1:15" ht="15.75" customHeight="1" x14ac:dyDescent="0.25">
      <c r="B33" s="11" t="s">
        <v>34</v>
      </c>
      <c r="C33" s="92">
        <f t="shared" ref="C33:O33" si="3">frac_malaria_risk</f>
        <v>5.0000000000000001E-3</v>
      </c>
      <c r="D33" s="92">
        <f t="shared" si="3"/>
        <v>5.0000000000000001E-3</v>
      </c>
      <c r="E33" s="92">
        <f t="shared" si="3"/>
        <v>5.0000000000000001E-3</v>
      </c>
      <c r="F33" s="92">
        <f t="shared" si="3"/>
        <v>5.0000000000000001E-3</v>
      </c>
      <c r="G33" s="92">
        <f t="shared" si="3"/>
        <v>5.0000000000000001E-3</v>
      </c>
      <c r="H33" s="92">
        <f t="shared" si="3"/>
        <v>5.0000000000000001E-3</v>
      </c>
      <c r="I33" s="92">
        <f t="shared" si="3"/>
        <v>5.0000000000000001E-3</v>
      </c>
      <c r="J33" s="92">
        <f t="shared" si="3"/>
        <v>5.0000000000000001E-3</v>
      </c>
      <c r="K33" s="92">
        <f t="shared" si="3"/>
        <v>5.0000000000000001E-3</v>
      </c>
      <c r="L33" s="92">
        <f t="shared" si="3"/>
        <v>5.0000000000000001E-3</v>
      </c>
      <c r="M33" s="92">
        <f t="shared" si="3"/>
        <v>5.0000000000000001E-3</v>
      </c>
      <c r="N33" s="92">
        <f t="shared" si="3"/>
        <v>5.0000000000000001E-3</v>
      </c>
      <c r="O33" s="92">
        <f t="shared" si="3"/>
        <v>5.0000000000000001E-3</v>
      </c>
    </row>
    <row r="34" spans="1:15" ht="15.75" customHeight="1" x14ac:dyDescent="0.25">
      <c r="B34" s="33" t="s">
        <v>83</v>
      </c>
      <c r="C34" s="92">
        <v>1</v>
      </c>
      <c r="D34" s="92">
        <v>1</v>
      </c>
      <c r="E34" s="92">
        <v>1</v>
      </c>
      <c r="F34" s="92">
        <v>1</v>
      </c>
      <c r="G34" s="92">
        <v>1</v>
      </c>
      <c r="H34" s="92">
        <v>1</v>
      </c>
      <c r="I34" s="92">
        <v>1</v>
      </c>
      <c r="J34" s="92">
        <v>1</v>
      </c>
      <c r="K34" s="92">
        <v>1</v>
      </c>
      <c r="L34" s="92">
        <v>1</v>
      </c>
      <c r="M34" s="92">
        <v>1</v>
      </c>
      <c r="N34" s="92">
        <v>1</v>
      </c>
      <c r="O34" s="92">
        <v>1</v>
      </c>
    </row>
    <row r="35" spans="1:15" ht="15.75" customHeight="1" x14ac:dyDescent="0.25">
      <c r="A35" s="5"/>
      <c r="B35" s="33" t="s">
        <v>82</v>
      </c>
      <c r="C35" s="92">
        <v>1</v>
      </c>
      <c r="D35" s="92">
        <v>1</v>
      </c>
      <c r="E35" s="92">
        <v>1</v>
      </c>
      <c r="F35" s="92">
        <v>1</v>
      </c>
      <c r="G35" s="92">
        <v>1</v>
      </c>
      <c r="H35" s="92">
        <v>1</v>
      </c>
      <c r="I35" s="92">
        <v>1</v>
      </c>
      <c r="J35" s="92">
        <v>1</v>
      </c>
      <c r="K35" s="92">
        <v>1</v>
      </c>
      <c r="L35" s="92">
        <v>1</v>
      </c>
      <c r="M35" s="92">
        <v>1</v>
      </c>
      <c r="N35" s="92">
        <v>1</v>
      </c>
      <c r="O35" s="92">
        <v>1</v>
      </c>
    </row>
    <row r="36" spans="1:15" s="5" customFormat="1" ht="15.75" customHeight="1" x14ac:dyDescent="0.25">
      <c r="B36" s="33" t="s">
        <v>81</v>
      </c>
      <c r="C36" s="92">
        <v>1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  <c r="I36" s="92">
        <v>1</v>
      </c>
      <c r="J36" s="92">
        <v>1</v>
      </c>
      <c r="K36" s="92">
        <v>1</v>
      </c>
      <c r="L36" s="92">
        <v>1</v>
      </c>
      <c r="M36" s="92">
        <v>1</v>
      </c>
      <c r="N36" s="92">
        <v>1</v>
      </c>
      <c r="O36" s="92">
        <v>1</v>
      </c>
    </row>
    <row r="37" spans="1:15" s="5" customFormat="1" ht="15.75" customHeight="1" x14ac:dyDescent="0.25">
      <c r="B37" s="33" t="s">
        <v>79</v>
      </c>
      <c r="C37" s="92">
        <v>1</v>
      </c>
      <c r="D37" s="92">
        <v>1</v>
      </c>
      <c r="E37" s="92">
        <v>1</v>
      </c>
      <c r="F37" s="92">
        <v>1</v>
      </c>
      <c r="G37" s="92">
        <v>1</v>
      </c>
      <c r="H37" s="92">
        <v>1</v>
      </c>
      <c r="I37" s="92">
        <v>1</v>
      </c>
      <c r="J37" s="92">
        <v>1</v>
      </c>
      <c r="K37" s="92">
        <v>1</v>
      </c>
      <c r="L37" s="92">
        <v>1</v>
      </c>
      <c r="M37" s="92">
        <v>1</v>
      </c>
      <c r="N37" s="92">
        <v>1</v>
      </c>
      <c r="O37" s="92">
        <v>1</v>
      </c>
    </row>
    <row r="38" spans="1:15" s="5" customFormat="1" ht="15.75" customHeight="1" x14ac:dyDescent="0.25">
      <c r="B38" s="33" t="s">
        <v>80</v>
      </c>
      <c r="C38" s="92">
        <v>1</v>
      </c>
      <c r="D38" s="92">
        <v>1</v>
      </c>
      <c r="E38" s="92">
        <v>1</v>
      </c>
      <c r="F38" s="92">
        <v>1</v>
      </c>
      <c r="G38" s="92">
        <v>1</v>
      </c>
      <c r="H38" s="92">
        <v>1</v>
      </c>
      <c r="I38" s="92">
        <v>1</v>
      </c>
      <c r="J38" s="92">
        <v>1</v>
      </c>
      <c r="K38" s="92">
        <v>1</v>
      </c>
      <c r="L38" s="92">
        <v>1</v>
      </c>
      <c r="M38" s="92">
        <v>1</v>
      </c>
      <c r="N38" s="92">
        <v>1</v>
      </c>
      <c r="O38" s="92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39"/>
  <sheetViews>
    <sheetView topLeftCell="A10" workbookViewId="0">
      <selection activeCell="B10" sqref="B10"/>
    </sheetView>
  </sheetViews>
  <sheetFormatPr defaultColWidth="14.453125" defaultRowHeight="15.75" customHeight="1" x14ac:dyDescent="0.25"/>
  <cols>
    <col min="1" max="1" width="56" style="52" customWidth="1"/>
    <col min="2" max="2" width="20" style="36" customWidth="1"/>
    <col min="3" max="3" width="20.453125" style="35" customWidth="1"/>
    <col min="4" max="4" width="20.1796875" style="35" customWidth="1"/>
    <col min="5" max="5" width="32.26953125" style="35" bestFit="1" customWidth="1"/>
    <col min="6" max="16384" width="14.453125" style="35"/>
  </cols>
  <sheetData>
    <row r="1" spans="1:5" ht="26" x14ac:dyDescent="0.3">
      <c r="A1" s="54" t="s">
        <v>69</v>
      </c>
      <c r="B1" s="66" t="str">
        <f>"Baseline ("&amp;start_year&amp;") coverage"</f>
        <v>Baseline (2017)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86">
        <v>56.254705436031671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86">
        <v>39.840352237471023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86">
        <v>386.57856933182757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86">
        <v>3.8809598418053568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86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86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86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86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86">
        <v>1.4398179519529142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86">
        <v>1.4398179519529142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86">
        <v>1.4398179519529142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86">
        <v>1.4398179519529142</v>
      </c>
      <c r="E13" s="86" t="s">
        <v>202</v>
      </c>
    </row>
    <row r="14" spans="1:5" ht="15.75" customHeight="1" x14ac:dyDescent="0.25">
      <c r="A14" s="11" t="s">
        <v>187</v>
      </c>
      <c r="B14" s="85">
        <v>0</v>
      </c>
      <c r="C14" s="85">
        <v>0.95</v>
      </c>
      <c r="D14" s="86">
        <v>12.972651681266932</v>
      </c>
      <c r="E14" s="86" t="s">
        <v>202</v>
      </c>
    </row>
    <row r="15" spans="1:5" ht="15.75" customHeight="1" x14ac:dyDescent="0.25">
      <c r="A15" s="11" t="s">
        <v>209</v>
      </c>
      <c r="B15" s="85">
        <v>0</v>
      </c>
      <c r="C15" s="85">
        <v>0.95</v>
      </c>
      <c r="D15" s="86">
        <v>12.972651681266932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86">
        <v>0.67941748116227962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86">
        <v>0.13690448396621577</v>
      </c>
      <c r="E17" s="86" t="s">
        <v>202</v>
      </c>
    </row>
    <row r="18" spans="1:5" ht="16" customHeight="1" x14ac:dyDescent="0.25">
      <c r="A18" s="52" t="s">
        <v>173</v>
      </c>
      <c r="B18" s="85">
        <v>0.34799999999999998</v>
      </c>
      <c r="C18" s="85">
        <v>0.95</v>
      </c>
      <c r="D18" s="87">
        <v>8.9203956176994357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87">
        <v>8.9203956176994357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87">
        <v>8.9203956176994357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86">
        <v>44.23052776081574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86">
        <v>22.365929113311349</v>
      </c>
      <c r="E22" s="86" t="s">
        <v>202</v>
      </c>
    </row>
    <row r="23" spans="1:5" ht="15.75" customHeight="1" x14ac:dyDescent="0.25">
      <c r="A23" s="52" t="s">
        <v>34</v>
      </c>
      <c r="B23" s="85">
        <v>0</v>
      </c>
      <c r="C23" s="85">
        <v>0.95</v>
      </c>
      <c r="D23" s="86">
        <v>4.2546328106455702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86">
        <v>18.548511011776842</v>
      </c>
      <c r="E24" s="86" t="s">
        <v>202</v>
      </c>
    </row>
    <row r="25" spans="1:5" ht="15.75" customHeight="1" x14ac:dyDescent="0.25">
      <c r="A25" s="52" t="s">
        <v>87</v>
      </c>
      <c r="B25" s="85">
        <v>0.59</v>
      </c>
      <c r="C25" s="85">
        <v>0.95</v>
      </c>
      <c r="D25" s="86">
        <v>18.536381135030908</v>
      </c>
      <c r="E25" s="86" t="s">
        <v>202</v>
      </c>
    </row>
    <row r="26" spans="1:5" ht="15.75" customHeight="1" x14ac:dyDescent="0.25">
      <c r="A26" s="52" t="s">
        <v>137</v>
      </c>
      <c r="B26" s="85">
        <v>0</v>
      </c>
      <c r="C26" s="85">
        <v>0.95</v>
      </c>
      <c r="D26" s="86">
        <v>5.1300457376332593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86">
        <v>7.0418200179380346</v>
      </c>
      <c r="E27" s="86" t="s">
        <v>202</v>
      </c>
    </row>
    <row r="28" spans="1:5" ht="15.75" customHeight="1" x14ac:dyDescent="0.25">
      <c r="A28" s="52" t="s">
        <v>84</v>
      </c>
      <c r="B28" s="85">
        <v>0.39899999999999997</v>
      </c>
      <c r="C28" s="85">
        <v>0.95</v>
      </c>
      <c r="D28" s="86">
        <v>0.44688836620953054</v>
      </c>
      <c r="E28" s="86" t="s">
        <v>202</v>
      </c>
    </row>
    <row r="29" spans="1:5" ht="15.75" customHeight="1" x14ac:dyDescent="0.25">
      <c r="A29" s="52" t="s">
        <v>58</v>
      </c>
      <c r="B29" s="85">
        <v>0.34799999999999998</v>
      </c>
      <c r="C29" s="85">
        <v>0.95</v>
      </c>
      <c r="D29" s="86">
        <v>109.5975303040908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86">
        <v>0.66646007760184001</v>
      </c>
      <c r="E30" s="86" t="s">
        <v>202</v>
      </c>
    </row>
    <row r="31" spans="1:5" ht="15.75" customHeight="1" x14ac:dyDescent="0.25">
      <c r="A31" s="52" t="s">
        <v>28</v>
      </c>
      <c r="B31" s="85">
        <v>0</v>
      </c>
      <c r="C31" s="85">
        <v>0.95</v>
      </c>
      <c r="D31" s="86">
        <v>1.454747276626283</v>
      </c>
      <c r="E31" s="86" t="s">
        <v>202</v>
      </c>
    </row>
    <row r="32" spans="1:5" ht="15.75" customHeight="1" x14ac:dyDescent="0.25">
      <c r="A32" s="52" t="s">
        <v>83</v>
      </c>
      <c r="B32" s="85">
        <v>0.17</v>
      </c>
      <c r="C32" s="85">
        <v>0.95</v>
      </c>
      <c r="D32" s="86">
        <v>1</v>
      </c>
      <c r="E32" s="86" t="s">
        <v>202</v>
      </c>
    </row>
    <row r="33" spans="1:6" ht="15.75" customHeight="1" x14ac:dyDescent="0.25">
      <c r="A33" s="52" t="s">
        <v>82</v>
      </c>
      <c r="B33" s="85">
        <v>0.57100000000000006</v>
      </c>
      <c r="C33" s="85">
        <v>0.95</v>
      </c>
      <c r="D33" s="86">
        <v>2.8</v>
      </c>
      <c r="E33" s="86" t="s">
        <v>202</v>
      </c>
    </row>
    <row r="34" spans="1:6" ht="15.75" customHeight="1" x14ac:dyDescent="0.25">
      <c r="A34" s="52" t="s">
        <v>81</v>
      </c>
      <c r="B34" s="85">
        <v>0.86299999999999999</v>
      </c>
      <c r="C34" s="85">
        <v>0.95</v>
      </c>
      <c r="D34" s="86">
        <v>50.26</v>
      </c>
      <c r="E34" s="86" t="s">
        <v>202</v>
      </c>
    </row>
    <row r="35" spans="1:6" ht="15.75" customHeight="1" x14ac:dyDescent="0.25">
      <c r="A35" s="52" t="s">
        <v>79</v>
      </c>
      <c r="B35" s="85">
        <v>1</v>
      </c>
      <c r="C35" s="85">
        <v>0.95</v>
      </c>
      <c r="D35" s="86">
        <v>36.1</v>
      </c>
      <c r="E35" s="86" t="s">
        <v>202</v>
      </c>
    </row>
    <row r="36" spans="1:6" s="36" customFormat="1" ht="15.75" customHeight="1" x14ac:dyDescent="0.25">
      <c r="A36" s="52" t="s">
        <v>80</v>
      </c>
      <c r="B36" s="85">
        <v>0.80400000000000005</v>
      </c>
      <c r="C36" s="85">
        <v>0.95</v>
      </c>
      <c r="D36" s="86">
        <v>231.85</v>
      </c>
      <c r="E36" s="86" t="s">
        <v>202</v>
      </c>
      <c r="F36" s="35"/>
    </row>
    <row r="37" spans="1:6" ht="15.75" customHeight="1" x14ac:dyDescent="0.25">
      <c r="A37" s="52" t="s">
        <v>85</v>
      </c>
      <c r="B37" s="85">
        <v>0</v>
      </c>
      <c r="C37" s="85">
        <v>0.95</v>
      </c>
      <c r="D37" s="86">
        <v>1.0360712417809492</v>
      </c>
      <c r="E37" s="86" t="s">
        <v>202</v>
      </c>
    </row>
    <row r="38" spans="1:6" ht="15.75" customHeight="1" x14ac:dyDescent="0.25">
      <c r="A38" s="52" t="s">
        <v>60</v>
      </c>
      <c r="B38" s="85">
        <v>0</v>
      </c>
      <c r="C38" s="85">
        <v>0.95</v>
      </c>
      <c r="D38" s="86">
        <v>1.4758694827407228</v>
      </c>
      <c r="E38" s="86" t="s">
        <v>202</v>
      </c>
    </row>
    <row r="39" spans="1:6" ht="15.75" customHeight="1" x14ac:dyDescent="0.25">
      <c r="F39" s="36"/>
    </row>
  </sheetData>
  <sheetProtection algorithmName="SHA-512" hashValue="zGqGWUHks9r73YYvhtsA/6n2sxkq6NyOLMnszdwkuYHRGc3RAKyH9yLxkOwoypM6IGMaCGHxxq0vP7rXnZY93w==" saltValue="sA5n05NYbI4nfIN6wumz0A==" spinCount="100000" sheet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81640625" defaultRowHeight="15.5" x14ac:dyDescent="0.35"/>
  <cols>
    <col min="1" max="1" width="18.7265625" style="55" customWidth="1"/>
    <col min="2" max="16384" width="10.81640625" style="55"/>
  </cols>
  <sheetData>
    <row r="1" spans="1:5" ht="52.5" x14ac:dyDescent="0.35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5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5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5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5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5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5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tabSelected="1" workbookViewId="0">
      <selection activeCell="B6" sqref="B6"/>
    </sheetView>
  </sheetViews>
  <sheetFormatPr defaultColWidth="11.453125" defaultRowHeight="12.5" x14ac:dyDescent="0.25"/>
  <cols>
    <col min="1" max="1" width="53" style="52" bestFit="1" customWidth="1"/>
    <col min="2" max="2" width="47.81640625" style="35" customWidth="1"/>
    <col min="3" max="3" width="42.453125" style="35" customWidth="1"/>
    <col min="4" max="16384" width="11.453125" style="35"/>
  </cols>
  <sheetData>
    <row r="1" spans="1:3" ht="13" x14ac:dyDescent="0.3">
      <c r="A1" s="40" t="s">
        <v>69</v>
      </c>
      <c r="B1" s="40" t="s">
        <v>180</v>
      </c>
      <c r="C1" s="40" t="s">
        <v>179</v>
      </c>
    </row>
    <row r="2" spans="1:3" x14ac:dyDescent="0.25">
      <c r="A2" s="88" t="s">
        <v>187</v>
      </c>
      <c r="B2" s="84" t="s">
        <v>59</v>
      </c>
      <c r="C2" s="84"/>
    </row>
    <row r="3" spans="1:3" x14ac:dyDescent="0.25">
      <c r="A3" s="88" t="s">
        <v>209</v>
      </c>
      <c r="B3" s="84" t="s">
        <v>59</v>
      </c>
      <c r="C3" s="84"/>
    </row>
    <row r="4" spans="1:3" x14ac:dyDescent="0.25">
      <c r="A4" s="89" t="s">
        <v>137</v>
      </c>
      <c r="B4" s="84" t="s">
        <v>136</v>
      </c>
      <c r="C4" s="84"/>
    </row>
    <row r="5" spans="1:3" x14ac:dyDescent="0.25">
      <c r="A5" s="89"/>
      <c r="B5" s="90"/>
      <c r="C5" s="90"/>
    </row>
    <row r="6" spans="1:3" x14ac:dyDescent="0.25">
      <c r="A6" s="89"/>
      <c r="B6" s="90"/>
      <c r="C6" s="90"/>
    </row>
    <row r="7" spans="1:3" x14ac:dyDescent="0.25">
      <c r="A7" s="89"/>
      <c r="B7" s="90"/>
      <c r="C7" s="90"/>
    </row>
    <row r="8" spans="1:3" x14ac:dyDescent="0.25">
      <c r="A8" s="89"/>
      <c r="B8" s="90"/>
      <c r="C8" s="90"/>
    </row>
    <row r="9" spans="1:3" x14ac:dyDescent="0.25">
      <c r="A9" s="89"/>
      <c r="B9" s="90"/>
      <c r="C9" s="90"/>
    </row>
    <row r="10" spans="1:3" x14ac:dyDescent="0.25">
      <c r="A10" s="89"/>
      <c r="B10" s="90"/>
      <c r="C10" s="90"/>
    </row>
    <row r="11" spans="1:3" x14ac:dyDescent="0.25">
      <c r="A11" s="91"/>
      <c r="B11" s="90"/>
      <c r="C11" s="90"/>
    </row>
    <row r="12" spans="1:3" x14ac:dyDescent="0.25">
      <c r="A12" s="91"/>
      <c r="B12" s="90"/>
      <c r="C12" s="90"/>
    </row>
    <row r="13" spans="1:3" x14ac:dyDescent="0.25">
      <c r="A13" s="91"/>
      <c r="B13" s="90"/>
      <c r="C13" s="90"/>
    </row>
    <row r="14" spans="1:3" x14ac:dyDescent="0.25">
      <c r="A14" s="91"/>
      <c r="B14" s="90"/>
      <c r="C14" s="90"/>
    </row>
    <row r="15" spans="1:3" x14ac:dyDescent="0.25">
      <c r="A15" s="91"/>
      <c r="B15" s="90"/>
      <c r="C15" s="90"/>
    </row>
    <row r="16" spans="1:3" x14ac:dyDescent="0.25">
      <c r="A16" s="91"/>
      <c r="B16" s="90"/>
      <c r="C16" s="90"/>
    </row>
    <row r="17" spans="1:3" x14ac:dyDescent="0.25">
      <c r="A17" s="91"/>
      <c r="B17" s="90"/>
      <c r="C17" s="90"/>
    </row>
    <row r="18" spans="1:3" x14ac:dyDescent="0.25">
      <c r="A18" s="91"/>
      <c r="B18" s="90"/>
      <c r="C18" s="90"/>
    </row>
    <row r="19" spans="1:3" x14ac:dyDescent="0.25">
      <c r="A19" s="89"/>
      <c r="B19" s="90"/>
      <c r="C19" s="90"/>
    </row>
    <row r="20" spans="1:3" x14ac:dyDescent="0.25">
      <c r="A20" s="89"/>
      <c r="B20" s="90"/>
      <c r="C20" s="90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G22" sqref="G22"/>
    </sheetView>
  </sheetViews>
  <sheetFormatPr defaultColWidth="11.453125" defaultRowHeight="12.5" x14ac:dyDescent="0.25"/>
  <cols>
    <col min="1" max="1" width="30.1796875" style="35" customWidth="1"/>
    <col min="2" max="16384" width="11.453125" style="35"/>
  </cols>
  <sheetData>
    <row r="1" spans="1:1" ht="13" x14ac:dyDescent="0.3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0.60753548345874997</v>
      </c>
      <c r="C2" s="26">
        <f>'Baseline year population inputs'!C52</f>
        <v>0.54041925822500003</v>
      </c>
      <c r="D2" s="26">
        <f>'Baseline year population inputs'!C53</f>
        <v>0.54041925822500003</v>
      </c>
      <c r="E2" s="26">
        <f>'Baseline year population inputs'!C54</f>
        <v>0.51886480895300002</v>
      </c>
      <c r="F2" s="26">
        <f>'Baseline year population inputs'!C55</f>
        <v>0.51886480895300002</v>
      </c>
    </row>
    <row r="3" spans="1:6" ht="15.75" customHeight="1" x14ac:dyDescent="0.25">
      <c r="A3" s="3" t="s">
        <v>65</v>
      </c>
      <c r="B3" s="26">
        <f>frac_mam_1month * 2.6</f>
        <v>2.5999999480000004E-2</v>
      </c>
      <c r="C3" s="26">
        <f>frac_mam_1_5months * 2.6</f>
        <v>2.5999999480000004E-2</v>
      </c>
      <c r="D3" s="26">
        <f>frac_mam_6_11months * 2.6</f>
        <v>2.5999999480000004E-2</v>
      </c>
      <c r="E3" s="26">
        <f>frac_mam_12_23months * 2.6</f>
        <v>2.5999999480000004E-2</v>
      </c>
      <c r="F3" s="26">
        <f>frac_mam_24_59months * 2.6</f>
        <v>2.5999999480000004E-2</v>
      </c>
    </row>
    <row r="4" spans="1:6" ht="15.75" customHeight="1" x14ac:dyDescent="0.25">
      <c r="A4" s="3" t="s">
        <v>66</v>
      </c>
      <c r="B4" s="26">
        <f>frac_sam_1month * 2.6</f>
        <v>1.5600000519999999E-2</v>
      </c>
      <c r="C4" s="26">
        <f>frac_sam_1_5months * 2.6</f>
        <v>1.5600000519999999E-2</v>
      </c>
      <c r="D4" s="26">
        <f>frac_sam_6_11months * 2.6</f>
        <v>1.5600000519999999E-2</v>
      </c>
      <c r="E4" s="26">
        <f>frac_sam_12_23months * 2.6</f>
        <v>1.5600000519999999E-2</v>
      </c>
      <c r="F4" s="26">
        <f>frac_sam_24_59months * 2.6</f>
        <v>1.5600000519999999E-2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53125" defaultRowHeight="12.5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53125" defaultRowHeight="12.5" x14ac:dyDescent="0.25"/>
  <cols>
    <col min="1" max="1" width="33.7265625" style="35" customWidth="1"/>
    <col min="2" max="2" width="12.453125" style="35" customWidth="1"/>
    <col min="3" max="4" width="11.453125" style="35"/>
    <col min="5" max="5" width="17.453125" style="35" customWidth="1"/>
    <col min="6" max="16384" width="11.453125" style="35"/>
  </cols>
  <sheetData>
    <row r="1" spans="1:5" ht="13" x14ac:dyDescent="0.3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4" x14ac:dyDescent="0.3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3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3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3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3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3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3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3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3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1"/>
  <sheetViews>
    <sheetView zoomScale="50" zoomScaleNormal="50" workbookViewId="0">
      <selection activeCell="J39" sqref="J39"/>
    </sheetView>
  </sheetViews>
  <sheetFormatPr defaultColWidth="16.1796875" defaultRowHeight="15.75" customHeight="1" x14ac:dyDescent="0.35"/>
  <cols>
    <col min="1" max="1" width="22.26953125" style="57" bestFit="1" customWidth="1"/>
    <col min="2" max="2" width="58.81640625" style="57" bestFit="1" customWidth="1"/>
    <col min="3" max="3" width="9.453125" style="57" bestFit="1" customWidth="1"/>
    <col min="4" max="4" width="11.1796875" style="57" bestFit="1" customWidth="1"/>
    <col min="5" max="5" width="12" style="57" bestFit="1" customWidth="1"/>
    <col min="6" max="7" width="13.1796875" style="57" bestFit="1" customWidth="1"/>
    <col min="8" max="11" width="15.26953125" style="57" bestFit="1" customWidth="1"/>
    <col min="12" max="15" width="16.81640625" style="57" bestFit="1" customWidth="1"/>
    <col min="16" max="16384" width="16.1796875" style="57"/>
  </cols>
  <sheetData>
    <row r="1" spans="1:15" ht="15.75" customHeight="1" x14ac:dyDescent="0.35">
      <c r="A1" s="59" t="s">
        <v>33</v>
      </c>
      <c r="B1" s="94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5">
      <c r="A2" s="59" t="s">
        <v>31</v>
      </c>
      <c r="B2" s="52" t="s">
        <v>61</v>
      </c>
      <c r="C2" s="138">
        <v>0</v>
      </c>
      <c r="D2" s="138">
        <v>1</v>
      </c>
      <c r="E2" s="138">
        <v>1</v>
      </c>
      <c r="F2" s="138">
        <v>1</v>
      </c>
      <c r="G2" s="138">
        <v>1</v>
      </c>
      <c r="H2" s="138">
        <v>0</v>
      </c>
      <c r="I2" s="138">
        <v>0</v>
      </c>
      <c r="J2" s="138">
        <v>0</v>
      </c>
      <c r="K2" s="138">
        <v>0</v>
      </c>
      <c r="L2" s="138">
        <v>0</v>
      </c>
      <c r="M2" s="138">
        <v>0</v>
      </c>
      <c r="N2" s="138">
        <v>0</v>
      </c>
      <c r="O2" s="138">
        <v>0</v>
      </c>
    </row>
    <row r="3" spans="1:15" ht="15.75" customHeight="1" x14ac:dyDescent="0.35">
      <c r="B3" s="52" t="s">
        <v>149</v>
      </c>
      <c r="C3" s="138">
        <v>1</v>
      </c>
      <c r="D3" s="138">
        <v>1</v>
      </c>
      <c r="E3" s="138">
        <v>0</v>
      </c>
      <c r="F3" s="138">
        <v>0</v>
      </c>
      <c r="G3" s="138">
        <v>0</v>
      </c>
      <c r="H3" s="138">
        <v>0</v>
      </c>
      <c r="I3" s="138">
        <v>0</v>
      </c>
      <c r="J3" s="138">
        <v>0</v>
      </c>
      <c r="K3" s="138">
        <v>0</v>
      </c>
      <c r="L3" s="138">
        <v>0</v>
      </c>
      <c r="M3" s="138">
        <v>0</v>
      </c>
      <c r="N3" s="138">
        <v>0</v>
      </c>
      <c r="O3" s="138">
        <v>0</v>
      </c>
    </row>
    <row r="4" spans="1:15" ht="15.75" customHeight="1" x14ac:dyDescent="0.35">
      <c r="B4" s="52" t="s">
        <v>173</v>
      </c>
      <c r="C4" s="138">
        <v>1</v>
      </c>
      <c r="D4" s="138">
        <v>1</v>
      </c>
      <c r="E4" s="138">
        <v>1</v>
      </c>
      <c r="F4" s="138">
        <v>1</v>
      </c>
      <c r="G4" s="138">
        <v>1</v>
      </c>
      <c r="H4" s="138">
        <v>0</v>
      </c>
      <c r="I4" s="138">
        <v>0</v>
      </c>
      <c r="J4" s="138">
        <v>0</v>
      </c>
      <c r="K4" s="138">
        <v>0</v>
      </c>
      <c r="L4" s="138">
        <v>0</v>
      </c>
      <c r="M4" s="138">
        <v>0</v>
      </c>
      <c r="N4" s="138">
        <v>0</v>
      </c>
      <c r="O4" s="138">
        <v>0</v>
      </c>
    </row>
    <row r="5" spans="1:15" ht="15.75" customHeight="1" x14ac:dyDescent="0.35">
      <c r="B5" s="52" t="s">
        <v>199</v>
      </c>
      <c r="C5" s="138">
        <v>1</v>
      </c>
      <c r="D5" s="138">
        <v>1</v>
      </c>
      <c r="E5" s="138">
        <v>1</v>
      </c>
      <c r="F5" s="138">
        <v>1</v>
      </c>
      <c r="G5" s="138">
        <v>1</v>
      </c>
      <c r="H5" s="138">
        <v>0</v>
      </c>
      <c r="I5" s="138">
        <v>0</v>
      </c>
      <c r="J5" s="138">
        <v>0</v>
      </c>
      <c r="K5" s="138">
        <v>0</v>
      </c>
      <c r="L5" s="138">
        <v>0</v>
      </c>
      <c r="M5" s="138">
        <v>0</v>
      </c>
      <c r="N5" s="138">
        <v>0</v>
      </c>
      <c r="O5" s="138">
        <v>0</v>
      </c>
    </row>
    <row r="6" spans="1:15" ht="15.75" customHeight="1" x14ac:dyDescent="0.35">
      <c r="B6" s="52" t="s">
        <v>200</v>
      </c>
      <c r="C6" s="138">
        <v>1</v>
      </c>
      <c r="D6" s="138">
        <v>1</v>
      </c>
      <c r="E6" s="138">
        <v>1</v>
      </c>
      <c r="F6" s="138">
        <v>1</v>
      </c>
      <c r="G6" s="138">
        <v>1</v>
      </c>
      <c r="H6" s="138">
        <v>0</v>
      </c>
      <c r="I6" s="138">
        <v>0</v>
      </c>
      <c r="J6" s="138">
        <v>0</v>
      </c>
      <c r="K6" s="138">
        <v>0</v>
      </c>
      <c r="L6" s="138">
        <v>0</v>
      </c>
      <c r="M6" s="138">
        <v>0</v>
      </c>
      <c r="N6" s="138">
        <v>0</v>
      </c>
      <c r="O6" s="138">
        <v>0</v>
      </c>
    </row>
    <row r="7" spans="1:15" ht="15.75" customHeight="1" x14ac:dyDescent="0.35">
      <c r="B7" s="52" t="s">
        <v>196</v>
      </c>
      <c r="C7" s="138">
        <v>1</v>
      </c>
      <c r="D7" s="138">
        <v>1</v>
      </c>
      <c r="E7" s="138">
        <v>0</v>
      </c>
      <c r="F7" s="138">
        <v>0</v>
      </c>
      <c r="G7" s="138">
        <v>0</v>
      </c>
      <c r="H7" s="138">
        <v>0</v>
      </c>
      <c r="I7" s="138">
        <v>0</v>
      </c>
      <c r="J7" s="138">
        <v>0</v>
      </c>
      <c r="K7" s="138">
        <v>0</v>
      </c>
      <c r="L7" s="138">
        <v>0</v>
      </c>
      <c r="M7" s="138">
        <v>0</v>
      </c>
      <c r="N7" s="138">
        <v>0</v>
      </c>
      <c r="O7" s="138">
        <v>0</v>
      </c>
    </row>
    <row r="8" spans="1:15" ht="15.75" customHeight="1" x14ac:dyDescent="0.35">
      <c r="B8" s="52" t="s">
        <v>136</v>
      </c>
      <c r="C8" s="138">
        <v>0</v>
      </c>
      <c r="D8" s="138">
        <v>0</v>
      </c>
      <c r="E8" s="138">
        <v>1</v>
      </c>
      <c r="F8" s="138">
        <v>1</v>
      </c>
      <c r="G8" s="138">
        <v>0</v>
      </c>
      <c r="H8" s="138">
        <v>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</row>
    <row r="9" spans="1:15" ht="15.75" customHeight="1" x14ac:dyDescent="0.35">
      <c r="B9" s="52" t="s">
        <v>137</v>
      </c>
      <c r="C9" s="138">
        <v>0</v>
      </c>
      <c r="D9" s="138">
        <v>0</v>
      </c>
      <c r="E9" s="138">
        <v>1</v>
      </c>
      <c r="F9" s="138">
        <v>1</v>
      </c>
      <c r="G9" s="138">
        <v>1</v>
      </c>
      <c r="H9" s="138">
        <v>0</v>
      </c>
      <c r="I9" s="138">
        <v>0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</row>
    <row r="10" spans="1:15" ht="15.75" customHeight="1" x14ac:dyDescent="0.35">
      <c r="B10" s="52" t="s">
        <v>84</v>
      </c>
      <c r="C10" s="138">
        <v>1</v>
      </c>
      <c r="D10" s="138">
        <v>1</v>
      </c>
      <c r="E10" s="138">
        <v>1</v>
      </c>
      <c r="F10" s="138">
        <v>1</v>
      </c>
      <c r="G10" s="138">
        <v>1</v>
      </c>
      <c r="H10" s="138">
        <v>0</v>
      </c>
      <c r="I10" s="138">
        <v>0</v>
      </c>
      <c r="J10" s="138">
        <v>0</v>
      </c>
      <c r="K10" s="138">
        <v>0</v>
      </c>
      <c r="L10" s="138">
        <v>0</v>
      </c>
      <c r="M10" s="138">
        <v>0</v>
      </c>
      <c r="N10" s="138">
        <v>0</v>
      </c>
      <c r="O10" s="138">
        <v>0</v>
      </c>
    </row>
    <row r="11" spans="1:15" ht="15.75" customHeight="1" x14ac:dyDescent="0.35">
      <c r="B11" s="52" t="s">
        <v>58</v>
      </c>
      <c r="C11" s="138">
        <v>0</v>
      </c>
      <c r="D11" s="138">
        <v>0</v>
      </c>
      <c r="E11" s="138">
        <v>1</v>
      </c>
      <c r="F11" s="138">
        <v>1</v>
      </c>
      <c r="G11" s="138">
        <v>0</v>
      </c>
      <c r="H11" s="138">
        <v>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</row>
    <row r="12" spans="1:15" ht="15.75" customHeight="1" x14ac:dyDescent="0.35">
      <c r="B12" s="52" t="s">
        <v>67</v>
      </c>
      <c r="C12" s="138">
        <v>0</v>
      </c>
      <c r="D12" s="138">
        <v>1</v>
      </c>
      <c r="E12" s="138">
        <v>1</v>
      </c>
      <c r="F12" s="138">
        <v>1</v>
      </c>
      <c r="G12" s="138">
        <v>1</v>
      </c>
      <c r="H12" s="138">
        <v>0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</row>
    <row r="13" spans="1:15" ht="15.75" customHeight="1" x14ac:dyDescent="0.35">
      <c r="B13" s="52" t="s">
        <v>28</v>
      </c>
      <c r="C13" s="138">
        <v>0</v>
      </c>
      <c r="D13" s="138">
        <v>0</v>
      </c>
      <c r="E13" s="138">
        <v>1</v>
      </c>
      <c r="F13" s="138">
        <v>1</v>
      </c>
      <c r="G13" s="138">
        <v>1</v>
      </c>
      <c r="H13" s="138">
        <v>0</v>
      </c>
      <c r="I13" s="138">
        <v>0</v>
      </c>
      <c r="J13" s="138">
        <v>0</v>
      </c>
      <c r="K13" s="138">
        <v>0</v>
      </c>
      <c r="L13" s="138">
        <v>0</v>
      </c>
      <c r="M13" s="138">
        <v>0</v>
      </c>
      <c r="N13" s="138">
        <v>0</v>
      </c>
      <c r="O13" s="138">
        <v>0</v>
      </c>
    </row>
    <row r="14" spans="1:15" ht="15.75" customHeight="1" x14ac:dyDescent="0.35">
      <c r="B14" s="52" t="s">
        <v>85</v>
      </c>
      <c r="C14" s="138">
        <v>1</v>
      </c>
      <c r="D14" s="138">
        <v>1</v>
      </c>
      <c r="E14" s="138">
        <v>1</v>
      </c>
      <c r="F14" s="138">
        <v>1</v>
      </c>
      <c r="G14" s="138">
        <v>1</v>
      </c>
      <c r="H14" s="138">
        <v>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</row>
    <row r="15" spans="1:15" ht="15.75" customHeight="1" x14ac:dyDescent="0.35">
      <c r="B15" s="52" t="s">
        <v>60</v>
      </c>
      <c r="C15" s="138">
        <v>0</v>
      </c>
      <c r="D15" s="138">
        <v>0</v>
      </c>
      <c r="E15" s="138">
        <v>1</v>
      </c>
      <c r="F15" s="138">
        <v>1</v>
      </c>
      <c r="G15" s="138">
        <v>1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</row>
    <row r="16" spans="1:15" ht="15.75" customHeight="1" x14ac:dyDescent="0.35">
      <c r="B16" s="52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</row>
    <row r="17" spans="1:16" ht="15.75" customHeight="1" x14ac:dyDescent="0.35">
      <c r="A17" s="59" t="s">
        <v>32</v>
      </c>
      <c r="B17" s="52" t="s">
        <v>29</v>
      </c>
      <c r="C17" s="138">
        <v>0</v>
      </c>
      <c r="D17" s="138">
        <v>0</v>
      </c>
      <c r="E17" s="138">
        <v>0</v>
      </c>
      <c r="F17" s="138">
        <v>0</v>
      </c>
      <c r="G17" s="138">
        <v>0</v>
      </c>
      <c r="H17" s="138">
        <v>1</v>
      </c>
      <c r="I17" s="138">
        <v>1</v>
      </c>
      <c r="J17" s="138">
        <v>1</v>
      </c>
      <c r="K17" s="138">
        <v>1</v>
      </c>
      <c r="L17" s="138">
        <v>0</v>
      </c>
      <c r="M17" s="138">
        <v>0</v>
      </c>
      <c r="N17" s="138">
        <v>0</v>
      </c>
      <c r="O17" s="138">
        <v>0</v>
      </c>
    </row>
    <row r="18" spans="1:16" ht="15.75" customHeight="1" x14ac:dyDescent="0.35">
      <c r="A18" s="59"/>
      <c r="B18" s="52" t="s">
        <v>86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1</v>
      </c>
      <c r="I18" s="138">
        <v>1</v>
      </c>
      <c r="J18" s="138">
        <v>1</v>
      </c>
      <c r="K18" s="138">
        <v>1</v>
      </c>
      <c r="L18" s="138">
        <v>0</v>
      </c>
      <c r="M18" s="138">
        <v>0</v>
      </c>
      <c r="N18" s="138">
        <v>0</v>
      </c>
      <c r="O18" s="138">
        <v>0</v>
      </c>
    </row>
    <row r="19" spans="1:16" ht="15.75" customHeight="1" x14ac:dyDescent="0.35">
      <c r="B19" s="95" t="s">
        <v>187</v>
      </c>
      <c r="C19" s="138">
        <v>0</v>
      </c>
      <c r="D19" s="138">
        <v>0</v>
      </c>
      <c r="E19" s="138">
        <v>0</v>
      </c>
      <c r="F19" s="138">
        <v>0</v>
      </c>
      <c r="G19" s="138">
        <v>0</v>
      </c>
      <c r="H19" s="138">
        <v>1</v>
      </c>
      <c r="I19" s="138">
        <v>1</v>
      </c>
      <c r="J19" s="138">
        <v>1</v>
      </c>
      <c r="K19" s="138">
        <v>1</v>
      </c>
      <c r="L19" s="138">
        <v>0</v>
      </c>
      <c r="M19" s="138">
        <v>0</v>
      </c>
      <c r="N19" s="138">
        <v>0</v>
      </c>
      <c r="O19" s="138">
        <v>0</v>
      </c>
    </row>
    <row r="20" spans="1:16" ht="15.75" customHeight="1" x14ac:dyDescent="0.35">
      <c r="B20" s="95" t="s">
        <v>209</v>
      </c>
      <c r="C20" s="138">
        <v>0</v>
      </c>
      <c r="D20" s="138">
        <v>0</v>
      </c>
      <c r="E20" s="138">
        <v>0</v>
      </c>
      <c r="F20" s="138">
        <v>0</v>
      </c>
      <c r="G20" s="138">
        <v>0</v>
      </c>
      <c r="H20" s="138">
        <v>1</v>
      </c>
      <c r="I20" s="138">
        <v>1</v>
      </c>
      <c r="J20" s="138">
        <v>1</v>
      </c>
      <c r="K20" s="138">
        <v>1</v>
      </c>
      <c r="L20" s="138">
        <v>0</v>
      </c>
      <c r="M20" s="138">
        <v>0</v>
      </c>
      <c r="N20" s="138">
        <v>0</v>
      </c>
      <c r="O20" s="138">
        <v>0</v>
      </c>
    </row>
    <row r="21" spans="1:16" ht="15.75" customHeight="1" x14ac:dyDescent="0.35">
      <c r="B21" s="96" t="s">
        <v>57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1</v>
      </c>
      <c r="I21" s="138">
        <v>1</v>
      </c>
      <c r="J21" s="138">
        <v>1</v>
      </c>
      <c r="K21" s="138">
        <v>1</v>
      </c>
      <c r="L21" s="138">
        <v>0</v>
      </c>
      <c r="M21" s="138">
        <v>0</v>
      </c>
      <c r="N21" s="138">
        <v>0</v>
      </c>
      <c r="O21" s="138">
        <v>0</v>
      </c>
    </row>
    <row r="22" spans="1:16" ht="15.75" customHeight="1" x14ac:dyDescent="0.35">
      <c r="B22" s="52" t="s">
        <v>88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1</v>
      </c>
      <c r="I22" s="138">
        <v>1</v>
      </c>
      <c r="J22" s="138">
        <v>1</v>
      </c>
      <c r="K22" s="138">
        <v>1</v>
      </c>
      <c r="L22" s="138">
        <v>0</v>
      </c>
      <c r="M22" s="138">
        <v>0</v>
      </c>
      <c r="N22" s="138">
        <v>0</v>
      </c>
      <c r="O22" s="138">
        <v>0</v>
      </c>
    </row>
    <row r="23" spans="1:16" ht="15.75" customHeight="1" x14ac:dyDescent="0.35">
      <c r="B23" s="52" t="s">
        <v>87</v>
      </c>
      <c r="C23" s="138">
        <v>0</v>
      </c>
      <c r="D23" s="138">
        <v>0</v>
      </c>
      <c r="E23" s="138">
        <v>0</v>
      </c>
      <c r="F23" s="138">
        <v>0</v>
      </c>
      <c r="G23" s="138">
        <v>0</v>
      </c>
      <c r="H23" s="138">
        <v>1</v>
      </c>
      <c r="I23" s="138">
        <v>1</v>
      </c>
      <c r="J23" s="138">
        <v>1</v>
      </c>
      <c r="K23" s="138">
        <v>1</v>
      </c>
      <c r="L23" s="138">
        <v>0</v>
      </c>
      <c r="M23" s="138">
        <v>0</v>
      </c>
      <c r="N23" s="138">
        <v>0</v>
      </c>
      <c r="O23" s="138">
        <v>0</v>
      </c>
    </row>
    <row r="24" spans="1:16" ht="15.75" customHeight="1" x14ac:dyDescent="0.35">
      <c r="B24" s="52" t="s">
        <v>59</v>
      </c>
      <c r="C24" s="138">
        <v>0</v>
      </c>
      <c r="D24" s="138">
        <v>0</v>
      </c>
      <c r="E24" s="138">
        <v>0</v>
      </c>
      <c r="F24" s="138">
        <v>0</v>
      </c>
      <c r="G24" s="138">
        <v>0</v>
      </c>
      <c r="H24" s="138">
        <v>1</v>
      </c>
      <c r="I24" s="138">
        <v>1</v>
      </c>
      <c r="J24" s="138">
        <v>1</v>
      </c>
      <c r="K24" s="138">
        <v>1</v>
      </c>
      <c r="L24" s="138">
        <v>0</v>
      </c>
      <c r="M24" s="138">
        <v>0</v>
      </c>
      <c r="N24" s="138">
        <v>0</v>
      </c>
      <c r="O24" s="138">
        <v>0</v>
      </c>
    </row>
    <row r="25" spans="1:16" ht="15.75" customHeight="1" x14ac:dyDescent="0.35">
      <c r="B25" s="52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</row>
    <row r="26" spans="1:16" ht="16.149999999999999" customHeight="1" x14ac:dyDescent="0.35">
      <c r="A26" s="59" t="s">
        <v>37</v>
      </c>
      <c r="B26" s="52" t="s">
        <v>198</v>
      </c>
      <c r="C26" s="138">
        <v>0</v>
      </c>
      <c r="D26" s="138">
        <v>0</v>
      </c>
      <c r="E26" s="138">
        <v>0</v>
      </c>
      <c r="F26" s="138">
        <v>0</v>
      </c>
      <c r="G26" s="138">
        <v>0</v>
      </c>
      <c r="H26" s="138">
        <v>0</v>
      </c>
      <c r="I26" s="138">
        <v>0</v>
      </c>
      <c r="J26" s="138">
        <v>0</v>
      </c>
      <c r="K26" s="138">
        <v>0</v>
      </c>
      <c r="L26" s="138">
        <v>1</v>
      </c>
      <c r="M26" s="138">
        <v>0</v>
      </c>
      <c r="N26" s="138">
        <v>0</v>
      </c>
      <c r="O26" s="138">
        <v>0</v>
      </c>
      <c r="P26" s="97"/>
    </row>
    <row r="27" spans="1:16" ht="15.75" customHeight="1" x14ac:dyDescent="0.35">
      <c r="B27" s="63" t="s">
        <v>188</v>
      </c>
      <c r="C27" s="138">
        <v>0</v>
      </c>
      <c r="D27" s="138">
        <v>0</v>
      </c>
      <c r="E27" s="138">
        <v>0</v>
      </c>
      <c r="F27" s="138">
        <v>0</v>
      </c>
      <c r="G27" s="138">
        <v>0</v>
      </c>
      <c r="H27" s="138">
        <v>0</v>
      </c>
      <c r="I27" s="138">
        <v>0</v>
      </c>
      <c r="J27" s="138">
        <v>0</v>
      </c>
      <c r="K27" s="138">
        <v>0</v>
      </c>
      <c r="L27" s="138">
        <v>1</v>
      </c>
      <c r="M27" s="138">
        <v>1</v>
      </c>
      <c r="N27" s="138">
        <v>1</v>
      </c>
      <c r="O27" s="138">
        <v>1</v>
      </c>
    </row>
    <row r="28" spans="1:16" ht="15.75" customHeight="1" x14ac:dyDescent="0.35">
      <c r="A28" s="59"/>
      <c r="B28" s="63" t="s">
        <v>208</v>
      </c>
      <c r="C28" s="138">
        <v>0</v>
      </c>
      <c r="D28" s="138">
        <v>0</v>
      </c>
      <c r="E28" s="138">
        <v>0</v>
      </c>
      <c r="F28" s="138">
        <v>0</v>
      </c>
      <c r="G28" s="138">
        <v>0</v>
      </c>
      <c r="H28" s="138">
        <v>0</v>
      </c>
      <c r="I28" s="138">
        <v>0</v>
      </c>
      <c r="J28" s="138">
        <v>0</v>
      </c>
      <c r="K28" s="138">
        <v>0</v>
      </c>
      <c r="L28" s="138">
        <v>1</v>
      </c>
      <c r="M28" s="138">
        <v>1</v>
      </c>
      <c r="N28" s="138">
        <v>1</v>
      </c>
      <c r="O28" s="138">
        <v>1</v>
      </c>
    </row>
    <row r="29" spans="1:16" ht="15.75" customHeight="1" x14ac:dyDescent="0.35">
      <c r="B29" s="63" t="s">
        <v>189</v>
      </c>
      <c r="C29" s="138">
        <v>0</v>
      </c>
      <c r="D29" s="138">
        <v>0</v>
      </c>
      <c r="E29" s="138">
        <v>0</v>
      </c>
      <c r="F29" s="138">
        <v>0</v>
      </c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L29" s="138">
        <v>1</v>
      </c>
      <c r="M29" s="138">
        <v>1</v>
      </c>
      <c r="N29" s="138">
        <v>1</v>
      </c>
      <c r="O29" s="138">
        <v>1</v>
      </c>
    </row>
    <row r="30" spans="1:16" ht="15.75" customHeight="1" x14ac:dyDescent="0.35">
      <c r="B30" s="63" t="s">
        <v>190</v>
      </c>
      <c r="C30" s="138">
        <v>0</v>
      </c>
      <c r="D30" s="138">
        <v>0</v>
      </c>
      <c r="E30" s="138">
        <v>0</v>
      </c>
      <c r="F30" s="138">
        <v>0</v>
      </c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1</v>
      </c>
      <c r="M30" s="138">
        <v>0</v>
      </c>
      <c r="N30" s="138">
        <v>0</v>
      </c>
      <c r="O30" s="138">
        <v>0</v>
      </c>
    </row>
    <row r="31" spans="1:16" ht="15.75" customHeight="1" x14ac:dyDescent="0.35">
      <c r="B31" s="52"/>
      <c r="C31" s="135"/>
      <c r="D31" s="135"/>
      <c r="E31" s="136"/>
      <c r="F31" s="136"/>
      <c r="G31" s="136"/>
      <c r="H31" s="136"/>
      <c r="I31" s="136"/>
      <c r="J31" s="134"/>
      <c r="K31" s="134"/>
      <c r="L31" s="134"/>
      <c r="M31" s="134"/>
      <c r="N31" s="134"/>
      <c r="O31" s="134"/>
    </row>
    <row r="32" spans="1:16" ht="15.75" customHeight="1" x14ac:dyDescent="0.35">
      <c r="A32" s="59" t="s">
        <v>35</v>
      </c>
      <c r="B32" s="52" t="s">
        <v>63</v>
      </c>
      <c r="C32" s="138">
        <v>1</v>
      </c>
      <c r="D32" s="138">
        <v>0</v>
      </c>
      <c r="E32" s="138">
        <v>1</v>
      </c>
      <c r="F32" s="138">
        <v>1</v>
      </c>
      <c r="G32" s="138">
        <v>1</v>
      </c>
      <c r="H32" s="138">
        <v>1</v>
      </c>
      <c r="I32" s="138">
        <v>1</v>
      </c>
      <c r="J32" s="138">
        <v>1</v>
      </c>
      <c r="K32" s="138">
        <v>1</v>
      </c>
      <c r="L32" s="138">
        <v>1</v>
      </c>
      <c r="M32" s="138">
        <v>1</v>
      </c>
      <c r="N32" s="138">
        <v>1</v>
      </c>
      <c r="O32" s="138">
        <v>1</v>
      </c>
    </row>
    <row r="33" spans="1:15" ht="15.75" customHeight="1" x14ac:dyDescent="0.35">
      <c r="B33" s="52" t="s">
        <v>64</v>
      </c>
      <c r="C33" s="138">
        <v>1</v>
      </c>
      <c r="D33" s="138">
        <v>0</v>
      </c>
      <c r="E33" s="138">
        <v>1</v>
      </c>
      <c r="F33" s="138">
        <v>1</v>
      </c>
      <c r="G33" s="138">
        <v>1</v>
      </c>
      <c r="H33" s="138">
        <v>1</v>
      </c>
      <c r="I33" s="138">
        <v>1</v>
      </c>
      <c r="J33" s="138">
        <v>1</v>
      </c>
      <c r="K33" s="138">
        <v>1</v>
      </c>
      <c r="L33" s="138">
        <v>1</v>
      </c>
      <c r="M33" s="138">
        <v>1</v>
      </c>
      <c r="N33" s="138">
        <v>1</v>
      </c>
      <c r="O33" s="138">
        <v>1</v>
      </c>
    </row>
    <row r="34" spans="1:15" ht="15.75" customHeight="1" x14ac:dyDescent="0.35">
      <c r="B34" s="52" t="s">
        <v>62</v>
      </c>
      <c r="C34" s="138">
        <v>1</v>
      </c>
      <c r="D34" s="138">
        <v>0</v>
      </c>
      <c r="E34" s="138">
        <v>1</v>
      </c>
      <c r="F34" s="138">
        <v>1</v>
      </c>
      <c r="G34" s="138">
        <v>1</v>
      </c>
      <c r="H34" s="138">
        <v>1</v>
      </c>
      <c r="I34" s="138">
        <v>1</v>
      </c>
      <c r="J34" s="138">
        <v>1</v>
      </c>
      <c r="K34" s="138">
        <v>1</v>
      </c>
      <c r="L34" s="138">
        <v>1</v>
      </c>
      <c r="M34" s="138">
        <v>1</v>
      </c>
      <c r="N34" s="138">
        <v>1</v>
      </c>
      <c r="O34" s="138">
        <v>1</v>
      </c>
    </row>
    <row r="35" spans="1:15" ht="15.75" customHeight="1" x14ac:dyDescent="0.35">
      <c r="B35" s="52" t="s">
        <v>47</v>
      </c>
      <c r="C35" s="138">
        <v>1</v>
      </c>
      <c r="D35" s="138">
        <v>0</v>
      </c>
      <c r="E35" s="138">
        <v>1</v>
      </c>
      <c r="F35" s="138">
        <v>1</v>
      </c>
      <c r="G35" s="138">
        <v>1</v>
      </c>
      <c r="H35" s="138">
        <v>1</v>
      </c>
      <c r="I35" s="138">
        <v>1</v>
      </c>
      <c r="J35" s="138">
        <v>1</v>
      </c>
      <c r="K35" s="138">
        <v>1</v>
      </c>
      <c r="L35" s="138">
        <v>1</v>
      </c>
      <c r="M35" s="138">
        <v>1</v>
      </c>
      <c r="N35" s="138">
        <v>1</v>
      </c>
      <c r="O35" s="138">
        <v>1</v>
      </c>
    </row>
    <row r="36" spans="1:15" ht="15.75" customHeight="1" x14ac:dyDescent="0.35">
      <c r="B36" s="52" t="s">
        <v>34</v>
      </c>
      <c r="C36" s="138">
        <v>1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  <c r="I36" s="138">
        <v>1</v>
      </c>
      <c r="J36" s="138">
        <v>1</v>
      </c>
      <c r="K36" s="138">
        <v>1</v>
      </c>
      <c r="L36" s="138">
        <v>1</v>
      </c>
      <c r="M36" s="138">
        <v>1</v>
      </c>
      <c r="N36" s="138">
        <v>1</v>
      </c>
      <c r="O36" s="138">
        <v>1</v>
      </c>
    </row>
    <row r="37" spans="1:15" ht="15.75" customHeight="1" x14ac:dyDescent="0.35">
      <c r="A37" s="98"/>
      <c r="B37" s="52" t="s">
        <v>83</v>
      </c>
      <c r="C37" s="138">
        <v>1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  <c r="I37" s="138">
        <v>1</v>
      </c>
      <c r="J37" s="138">
        <v>1</v>
      </c>
      <c r="K37" s="138">
        <v>1</v>
      </c>
      <c r="L37" s="138">
        <v>1</v>
      </c>
      <c r="M37" s="138">
        <v>1</v>
      </c>
      <c r="N37" s="138">
        <v>1</v>
      </c>
      <c r="O37" s="138">
        <v>1</v>
      </c>
    </row>
    <row r="38" spans="1:15" s="98" customFormat="1" ht="15.75" customHeight="1" x14ac:dyDescent="0.35">
      <c r="B38" s="52" t="s">
        <v>82</v>
      </c>
      <c r="C38" s="138">
        <v>1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  <c r="I38" s="138">
        <v>1</v>
      </c>
      <c r="J38" s="138">
        <v>1</v>
      </c>
      <c r="K38" s="138">
        <v>1</v>
      </c>
      <c r="L38" s="138">
        <v>1</v>
      </c>
      <c r="M38" s="138">
        <v>1</v>
      </c>
      <c r="N38" s="138">
        <v>1</v>
      </c>
      <c r="O38" s="138">
        <v>1</v>
      </c>
    </row>
    <row r="39" spans="1:15" s="98" customFormat="1" ht="15.75" customHeight="1" x14ac:dyDescent="0.35">
      <c r="B39" s="52" t="s">
        <v>81</v>
      </c>
      <c r="C39" s="138">
        <v>1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  <c r="I39" s="138">
        <v>1</v>
      </c>
      <c r="J39" s="138">
        <v>1</v>
      </c>
      <c r="K39" s="138">
        <v>1</v>
      </c>
      <c r="L39" s="138">
        <v>1</v>
      </c>
      <c r="M39" s="138">
        <v>1</v>
      </c>
      <c r="N39" s="138">
        <v>1</v>
      </c>
      <c r="O39" s="138">
        <v>1</v>
      </c>
    </row>
    <row r="40" spans="1:15" s="98" customFormat="1" ht="15.75" customHeight="1" x14ac:dyDescent="0.35">
      <c r="B40" s="52" t="s">
        <v>79</v>
      </c>
      <c r="C40" s="138">
        <v>1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  <c r="I40" s="138">
        <v>1</v>
      </c>
      <c r="J40" s="138">
        <v>1</v>
      </c>
      <c r="K40" s="138">
        <v>1</v>
      </c>
      <c r="L40" s="138">
        <v>1</v>
      </c>
      <c r="M40" s="138">
        <v>1</v>
      </c>
      <c r="N40" s="138">
        <v>1</v>
      </c>
      <c r="O40" s="138">
        <v>1</v>
      </c>
    </row>
    <row r="41" spans="1:15" ht="15" customHeight="1" x14ac:dyDescent="0.35">
      <c r="B41" s="52" t="s">
        <v>80</v>
      </c>
      <c r="C41" s="138">
        <v>1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  <c r="I41" s="138">
        <v>1</v>
      </c>
      <c r="J41" s="138">
        <v>1</v>
      </c>
      <c r="K41" s="138">
        <v>1</v>
      </c>
      <c r="L41" s="138">
        <v>1</v>
      </c>
      <c r="M41" s="138">
        <v>1</v>
      </c>
      <c r="N41" s="138">
        <v>1</v>
      </c>
      <c r="O41" s="138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265625" defaultRowHeight="12.5" x14ac:dyDescent="0.25"/>
  <cols>
    <col min="1" max="1" width="58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8"/>
      <c r="C2" s="138"/>
      <c r="D2" s="138"/>
      <c r="E2" s="138"/>
      <c r="F2" s="138"/>
      <c r="G2" s="138"/>
      <c r="H2" s="138"/>
      <c r="I2" s="138" t="s">
        <v>194</v>
      </c>
      <c r="J2" s="138"/>
      <c r="K2" s="138"/>
    </row>
    <row r="3" spans="1:11" x14ac:dyDescent="0.25">
      <c r="A3" s="52" t="s">
        <v>86</v>
      </c>
      <c r="B3" s="138"/>
      <c r="C3" s="138"/>
      <c r="D3" s="138"/>
      <c r="E3" s="138"/>
      <c r="F3" s="138"/>
      <c r="G3" s="138"/>
      <c r="H3" s="138" t="s">
        <v>194</v>
      </c>
      <c r="I3" s="138"/>
      <c r="J3" s="138"/>
      <c r="K3" s="138"/>
    </row>
    <row r="4" spans="1:11" x14ac:dyDescent="0.25">
      <c r="A4" s="52" t="s">
        <v>61</v>
      </c>
      <c r="B4" s="138"/>
      <c r="C4" s="138"/>
      <c r="D4" s="138" t="s">
        <v>194</v>
      </c>
      <c r="E4" s="138"/>
      <c r="F4" s="138"/>
      <c r="G4" s="138"/>
      <c r="H4" s="138"/>
      <c r="I4" s="138"/>
      <c r="J4" s="138"/>
      <c r="K4" s="138"/>
    </row>
    <row r="5" spans="1:11" x14ac:dyDescent="0.25">
      <c r="A5" s="52" t="s">
        <v>149</v>
      </c>
      <c r="B5" s="138"/>
      <c r="C5" s="138" t="s">
        <v>194</v>
      </c>
      <c r="D5" s="138"/>
      <c r="E5" s="138"/>
      <c r="F5" s="138"/>
      <c r="G5" s="138"/>
      <c r="H5" s="138"/>
      <c r="I5" s="138"/>
      <c r="J5" s="138"/>
      <c r="K5" s="138"/>
    </row>
    <row r="6" spans="1:11" x14ac:dyDescent="0.25">
      <c r="A6" s="52" t="s">
        <v>198</v>
      </c>
      <c r="B6" s="138"/>
      <c r="C6" s="138"/>
      <c r="D6" s="138"/>
      <c r="E6" s="138"/>
      <c r="F6" s="138"/>
      <c r="G6" s="138"/>
      <c r="H6" s="138"/>
      <c r="I6" s="138"/>
      <c r="J6" s="138" t="s">
        <v>194</v>
      </c>
      <c r="K6" s="138" t="s">
        <v>194</v>
      </c>
    </row>
    <row r="7" spans="1:11" x14ac:dyDescent="0.25">
      <c r="A7" s="52" t="s">
        <v>63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/>
      <c r="J7" s="138"/>
      <c r="K7" s="138"/>
    </row>
    <row r="8" spans="1:11" x14ac:dyDescent="0.25">
      <c r="A8" s="52" t="s">
        <v>64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/>
      <c r="J8" s="138"/>
      <c r="K8" s="138"/>
    </row>
    <row r="9" spans="1:11" x14ac:dyDescent="0.25">
      <c r="A9" s="52" t="s">
        <v>62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/>
      <c r="J9" s="138"/>
      <c r="K9" s="138"/>
    </row>
    <row r="10" spans="1:11" x14ac:dyDescent="0.25">
      <c r="A10" s="63" t="s">
        <v>188</v>
      </c>
      <c r="B10" s="138"/>
      <c r="C10" s="138" t="s">
        <v>194</v>
      </c>
      <c r="D10" s="138"/>
      <c r="E10" s="138"/>
      <c r="F10" s="138"/>
      <c r="G10" s="138"/>
      <c r="H10" s="138"/>
      <c r="I10" s="138"/>
      <c r="J10" s="138"/>
      <c r="K10" s="138"/>
    </row>
    <row r="11" spans="1:11" x14ac:dyDescent="0.25">
      <c r="A11" s="63" t="s">
        <v>208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/>
      <c r="K11" s="138"/>
    </row>
    <row r="12" spans="1:11" x14ac:dyDescent="0.25">
      <c r="A12" s="63" t="s">
        <v>189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/>
    </row>
    <row r="13" spans="1:11" x14ac:dyDescent="0.25">
      <c r="A13" s="63" t="s">
        <v>190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/>
    </row>
    <row r="14" spans="1:11" x14ac:dyDescent="0.25">
      <c r="A14" s="95" t="s">
        <v>187</v>
      </c>
      <c r="B14" s="138"/>
      <c r="C14" s="138" t="s">
        <v>194</v>
      </c>
      <c r="D14" s="138"/>
      <c r="E14" s="138"/>
      <c r="F14" s="138"/>
      <c r="G14" s="138"/>
      <c r="H14" s="138"/>
      <c r="I14" s="138" t="s">
        <v>194</v>
      </c>
      <c r="J14" s="138"/>
      <c r="K14" s="138"/>
    </row>
    <row r="15" spans="1:11" x14ac:dyDescent="0.25">
      <c r="A15" s="95" t="s">
        <v>209</v>
      </c>
      <c r="B15" s="138"/>
      <c r="C15" s="138" t="s">
        <v>194</v>
      </c>
      <c r="D15" s="138"/>
      <c r="E15" s="138"/>
      <c r="F15" s="138"/>
      <c r="G15" s="138"/>
      <c r="H15" s="138"/>
      <c r="I15" s="138" t="s">
        <v>194</v>
      </c>
      <c r="J15" s="138"/>
      <c r="K15" s="138"/>
    </row>
    <row r="16" spans="1:11" x14ac:dyDescent="0.25">
      <c r="A16" s="52" t="s">
        <v>57</v>
      </c>
      <c r="B16" s="138"/>
      <c r="C16" s="138" t="s">
        <v>194</v>
      </c>
      <c r="D16" s="138"/>
      <c r="E16" s="138"/>
      <c r="F16" s="138"/>
      <c r="G16" s="138"/>
      <c r="H16" s="138" t="s">
        <v>194</v>
      </c>
      <c r="I16" s="138" t="s">
        <v>194</v>
      </c>
      <c r="J16" s="138"/>
      <c r="K16" s="138"/>
    </row>
    <row r="17" spans="1:11" x14ac:dyDescent="0.25">
      <c r="A17" s="52" t="s">
        <v>47</v>
      </c>
      <c r="B17" s="138"/>
      <c r="C17" s="138" t="s">
        <v>194</v>
      </c>
      <c r="D17" s="138"/>
      <c r="E17" s="138"/>
      <c r="F17" s="138"/>
      <c r="G17" s="138"/>
      <c r="H17" s="138"/>
      <c r="I17" s="138"/>
      <c r="J17" s="138"/>
      <c r="K17" s="138"/>
    </row>
    <row r="18" spans="1:11" x14ac:dyDescent="0.25">
      <c r="A18" s="52" t="s">
        <v>173</v>
      </c>
      <c r="B18" s="138" t="s">
        <v>194</v>
      </c>
      <c r="C18" s="138"/>
      <c r="D18" s="138"/>
      <c r="E18" s="138"/>
      <c r="F18" s="138" t="s">
        <v>194</v>
      </c>
      <c r="G18" s="138"/>
      <c r="H18" s="138"/>
      <c r="I18" s="138"/>
      <c r="J18" s="138"/>
      <c r="K18" s="138"/>
    </row>
    <row r="19" spans="1:11" x14ac:dyDescent="0.25">
      <c r="A19" s="52" t="s">
        <v>199</v>
      </c>
      <c r="B19" s="138" t="s">
        <v>194</v>
      </c>
      <c r="C19" s="138"/>
      <c r="D19" s="138"/>
      <c r="E19" s="138"/>
      <c r="F19" s="138" t="s">
        <v>194</v>
      </c>
      <c r="G19" s="138"/>
      <c r="H19" s="138"/>
      <c r="I19" s="138"/>
      <c r="J19" s="138"/>
      <c r="K19" s="138"/>
    </row>
    <row r="20" spans="1:11" x14ac:dyDescent="0.25">
      <c r="A20" s="52" t="s">
        <v>200</v>
      </c>
      <c r="B20" s="138" t="s">
        <v>194</v>
      </c>
      <c r="C20" s="138"/>
      <c r="D20" s="138"/>
      <c r="E20" s="138"/>
      <c r="F20" s="138" t="s">
        <v>194</v>
      </c>
      <c r="G20" s="138"/>
      <c r="H20" s="138"/>
      <c r="I20" s="138"/>
      <c r="J20" s="138"/>
      <c r="K20" s="138"/>
    </row>
    <row r="21" spans="1:11" x14ac:dyDescent="0.25">
      <c r="A21" s="52" t="s">
        <v>196</v>
      </c>
      <c r="B21" s="138"/>
      <c r="C21" s="138"/>
      <c r="D21" s="138"/>
      <c r="E21" s="138"/>
      <c r="F21" s="138"/>
      <c r="G21" s="138"/>
      <c r="H21" s="138" t="s">
        <v>194</v>
      </c>
      <c r="I21" s="138" t="s">
        <v>194</v>
      </c>
      <c r="J21" s="138"/>
      <c r="K21" s="138"/>
    </row>
    <row r="22" spans="1:11" x14ac:dyDescent="0.25">
      <c r="A22" s="52" t="s">
        <v>136</v>
      </c>
      <c r="B22" s="138" t="s">
        <v>194</v>
      </c>
      <c r="C22" s="138" t="s">
        <v>194</v>
      </c>
      <c r="D22" s="138" t="s">
        <v>194</v>
      </c>
      <c r="E22" s="138"/>
      <c r="F22" s="138"/>
      <c r="G22" s="138"/>
      <c r="H22" s="138"/>
      <c r="I22" s="138"/>
      <c r="J22" s="138"/>
      <c r="K22" s="138"/>
    </row>
    <row r="23" spans="1:11" x14ac:dyDescent="0.25">
      <c r="A23" s="52" t="s">
        <v>34</v>
      </c>
      <c r="B23" s="138"/>
      <c r="C23" s="138" t="s">
        <v>194</v>
      </c>
      <c r="D23" s="138"/>
      <c r="E23" s="138"/>
      <c r="F23" s="138"/>
      <c r="G23" s="138"/>
      <c r="H23" s="138"/>
      <c r="I23" s="138" t="s">
        <v>194</v>
      </c>
      <c r="J23" s="138"/>
      <c r="K23" s="138"/>
    </row>
    <row r="24" spans="1:11" x14ac:dyDescent="0.25">
      <c r="A24" s="52" t="s">
        <v>88</v>
      </c>
      <c r="B24" s="138"/>
      <c r="C24" s="138"/>
      <c r="D24" s="138"/>
      <c r="E24" s="138"/>
      <c r="F24" s="138"/>
      <c r="G24" s="138"/>
      <c r="H24" s="138" t="s">
        <v>194</v>
      </c>
      <c r="I24" s="138"/>
      <c r="J24" s="138"/>
      <c r="K24" s="138"/>
    </row>
    <row r="25" spans="1:11" x14ac:dyDescent="0.25">
      <c r="A25" s="52" t="s">
        <v>87</v>
      </c>
      <c r="B25" s="138"/>
      <c r="C25" s="138"/>
      <c r="D25" s="138"/>
      <c r="E25" s="138"/>
      <c r="F25" s="138"/>
      <c r="G25" s="138"/>
      <c r="H25" s="138" t="s">
        <v>194</v>
      </c>
      <c r="I25" s="138"/>
      <c r="J25" s="138"/>
      <c r="K25" s="138"/>
    </row>
    <row r="26" spans="1:11" x14ac:dyDescent="0.25">
      <c r="A26" s="52" t="s">
        <v>137</v>
      </c>
      <c r="B26" s="138"/>
      <c r="C26" s="138" t="s">
        <v>194</v>
      </c>
      <c r="D26" s="138"/>
      <c r="E26" s="138"/>
      <c r="F26" s="138"/>
      <c r="G26" s="138"/>
      <c r="H26" s="138"/>
      <c r="I26" s="138"/>
      <c r="J26" s="138"/>
      <c r="K26" s="138"/>
    </row>
    <row r="27" spans="1:11" x14ac:dyDescent="0.25">
      <c r="A27" s="52" t="s">
        <v>59</v>
      </c>
      <c r="B27" s="138"/>
      <c r="C27" s="138" t="s">
        <v>194</v>
      </c>
      <c r="D27" s="138"/>
      <c r="E27" s="138"/>
      <c r="F27" s="138"/>
      <c r="G27" s="138"/>
      <c r="H27" s="138"/>
      <c r="I27" s="138" t="s">
        <v>194</v>
      </c>
      <c r="J27" s="138"/>
      <c r="K27" s="138"/>
    </row>
    <row r="28" spans="1:11" x14ac:dyDescent="0.25">
      <c r="A28" s="52" t="s">
        <v>84</v>
      </c>
      <c r="B28" s="138"/>
      <c r="C28" s="138"/>
      <c r="D28" s="138"/>
      <c r="E28" s="138"/>
      <c r="F28" s="138"/>
      <c r="G28" s="138"/>
      <c r="H28" s="138" t="s">
        <v>194</v>
      </c>
      <c r="I28" s="138"/>
      <c r="J28" s="138"/>
      <c r="K28" s="138"/>
    </row>
    <row r="29" spans="1:11" x14ac:dyDescent="0.25">
      <c r="A29" s="52" t="s">
        <v>58</v>
      </c>
      <c r="B29" s="138" t="s">
        <v>194</v>
      </c>
      <c r="C29" s="138"/>
      <c r="D29" s="138" t="s">
        <v>194</v>
      </c>
      <c r="E29" s="138"/>
      <c r="F29" s="138"/>
      <c r="G29" s="138"/>
      <c r="H29" s="138"/>
      <c r="I29" s="138"/>
      <c r="J29" s="138"/>
      <c r="K29" s="138"/>
    </row>
    <row r="30" spans="1:11" x14ac:dyDescent="0.25">
      <c r="A30" s="52" t="s">
        <v>67</v>
      </c>
      <c r="B30" s="138"/>
      <c r="C30" s="138"/>
      <c r="D30" s="138"/>
      <c r="E30" s="138" t="s">
        <v>194</v>
      </c>
      <c r="F30" s="138"/>
      <c r="G30" s="138"/>
      <c r="H30" s="138"/>
      <c r="I30" s="138"/>
      <c r="J30" s="138"/>
      <c r="K30" s="138"/>
    </row>
    <row r="31" spans="1:11" x14ac:dyDescent="0.25">
      <c r="A31" s="52" t="s">
        <v>28</v>
      </c>
      <c r="B31" s="138"/>
      <c r="C31" s="138"/>
      <c r="D31" s="138"/>
      <c r="E31" s="138"/>
      <c r="F31" s="138"/>
      <c r="G31" s="138" t="s">
        <v>194</v>
      </c>
      <c r="H31" s="138" t="s">
        <v>194</v>
      </c>
      <c r="I31" s="138"/>
      <c r="J31" s="138"/>
      <c r="K31" s="138"/>
    </row>
    <row r="32" spans="1:11" x14ac:dyDescent="0.25">
      <c r="A32" s="52" t="s">
        <v>83</v>
      </c>
      <c r="B32" s="138"/>
      <c r="C32" s="138"/>
      <c r="D32" s="138"/>
      <c r="E32" s="138"/>
      <c r="F32" s="138"/>
      <c r="G32" s="138" t="s">
        <v>194</v>
      </c>
      <c r="H32" s="138" t="s">
        <v>194</v>
      </c>
      <c r="I32" s="138"/>
      <c r="J32" s="138"/>
      <c r="K32" s="138"/>
    </row>
    <row r="33" spans="1:11" x14ac:dyDescent="0.25">
      <c r="A33" s="52" t="s">
        <v>82</v>
      </c>
      <c r="B33" s="138"/>
      <c r="C33" s="138"/>
      <c r="D33" s="138"/>
      <c r="E33" s="138"/>
      <c r="F33" s="138"/>
      <c r="G33" s="138" t="s">
        <v>194</v>
      </c>
      <c r="H33" s="138" t="s">
        <v>194</v>
      </c>
      <c r="I33" s="138"/>
      <c r="J33" s="138"/>
      <c r="K33" s="138"/>
    </row>
    <row r="34" spans="1:11" x14ac:dyDescent="0.25">
      <c r="A34" s="52" t="s">
        <v>81</v>
      </c>
      <c r="B34" s="138"/>
      <c r="C34" s="138"/>
      <c r="D34" s="138"/>
      <c r="E34" s="138"/>
      <c r="F34" s="138"/>
      <c r="G34" s="138" t="s">
        <v>194</v>
      </c>
      <c r="H34" s="138" t="s">
        <v>194</v>
      </c>
      <c r="I34" s="138"/>
      <c r="J34" s="138"/>
      <c r="K34" s="138"/>
    </row>
    <row r="35" spans="1:11" x14ac:dyDescent="0.25">
      <c r="A35" s="52" t="s">
        <v>79</v>
      </c>
      <c r="B35" s="138"/>
      <c r="C35" s="138"/>
      <c r="D35" s="138"/>
      <c r="E35" s="138"/>
      <c r="F35" s="138"/>
      <c r="G35" s="138" t="s">
        <v>194</v>
      </c>
      <c r="H35" s="138" t="s">
        <v>194</v>
      </c>
      <c r="I35" s="138"/>
      <c r="J35" s="138"/>
      <c r="K35" s="138"/>
    </row>
    <row r="36" spans="1:11" x14ac:dyDescent="0.25">
      <c r="A36" s="52" t="s">
        <v>80</v>
      </c>
      <c r="B36" s="138"/>
      <c r="C36" s="138"/>
      <c r="D36" s="138"/>
      <c r="E36" s="138"/>
      <c r="F36" s="138"/>
      <c r="G36" s="138" t="s">
        <v>194</v>
      </c>
      <c r="H36" s="138" t="s">
        <v>194</v>
      </c>
      <c r="I36" s="138"/>
      <c r="J36" s="138"/>
      <c r="K36" s="138"/>
    </row>
    <row r="37" spans="1:11" x14ac:dyDescent="0.25">
      <c r="A37" s="52" t="s">
        <v>85</v>
      </c>
      <c r="B37" s="138"/>
      <c r="C37" s="138"/>
      <c r="D37" s="138"/>
      <c r="E37" s="138"/>
      <c r="F37" s="138"/>
      <c r="G37" s="138"/>
      <c r="H37" s="138" t="s">
        <v>194</v>
      </c>
      <c r="I37" s="138"/>
      <c r="J37" s="138"/>
      <c r="K37" s="138"/>
    </row>
    <row r="38" spans="1:11" x14ac:dyDescent="0.25">
      <c r="A38" s="52" t="s">
        <v>60</v>
      </c>
      <c r="B38" s="138" t="s">
        <v>194</v>
      </c>
      <c r="C38" s="138"/>
      <c r="D38" s="138"/>
      <c r="E38" s="138"/>
      <c r="F38" s="138"/>
      <c r="G38" s="138" t="s">
        <v>194</v>
      </c>
      <c r="H38" s="138" t="s">
        <v>194</v>
      </c>
      <c r="I38" s="138"/>
      <c r="J38" s="138"/>
      <c r="K38" s="138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265625" defaultRowHeight="12.5" x14ac:dyDescent="0.25"/>
  <cols>
    <col min="1" max="1" width="16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8" t="s">
        <v>194</v>
      </c>
      <c r="C2" s="138" t="s">
        <v>194</v>
      </c>
      <c r="D2" s="138" t="s">
        <v>194</v>
      </c>
      <c r="E2" s="138" t="s">
        <v>194</v>
      </c>
      <c r="F2" s="138" t="s">
        <v>194</v>
      </c>
      <c r="G2" s="138" t="s">
        <v>194</v>
      </c>
      <c r="H2" s="138" t="s">
        <v>194</v>
      </c>
      <c r="I2" s="138"/>
      <c r="J2" s="138"/>
      <c r="K2" s="138"/>
    </row>
    <row r="3" spans="1:11" x14ac:dyDescent="0.25">
      <c r="A3" s="35" t="s">
        <v>2</v>
      </c>
      <c r="B3" s="138" t="s">
        <v>194</v>
      </c>
      <c r="C3" s="138" t="s">
        <v>194</v>
      </c>
      <c r="D3" s="138" t="s">
        <v>194</v>
      </c>
      <c r="E3" s="138" t="s">
        <v>194</v>
      </c>
      <c r="F3" s="138" t="s">
        <v>194</v>
      </c>
      <c r="G3" s="138" t="s">
        <v>194</v>
      </c>
      <c r="H3" s="138" t="s">
        <v>194</v>
      </c>
      <c r="I3" s="138"/>
      <c r="J3" s="138"/>
      <c r="K3" s="138"/>
    </row>
    <row r="4" spans="1:11" x14ac:dyDescent="0.25">
      <c r="A4" s="35" t="s">
        <v>3</v>
      </c>
      <c r="B4" s="138" t="s">
        <v>194</v>
      </c>
      <c r="C4" s="138" t="s">
        <v>194</v>
      </c>
      <c r="D4" s="138" t="s">
        <v>194</v>
      </c>
      <c r="E4" s="138" t="s">
        <v>194</v>
      </c>
      <c r="F4" s="138" t="s">
        <v>194</v>
      </c>
      <c r="G4" s="138" t="s">
        <v>194</v>
      </c>
      <c r="H4" s="138" t="s">
        <v>194</v>
      </c>
      <c r="I4" s="138"/>
      <c r="J4" s="138"/>
      <c r="K4" s="138"/>
    </row>
    <row r="5" spans="1:11" x14ac:dyDescent="0.25">
      <c r="A5" s="35" t="s">
        <v>4</v>
      </c>
      <c r="B5" s="138" t="s">
        <v>194</v>
      </c>
      <c r="C5" s="138" t="s">
        <v>194</v>
      </c>
      <c r="D5" s="138" t="s">
        <v>194</v>
      </c>
      <c r="E5" s="138" t="s">
        <v>194</v>
      </c>
      <c r="F5" s="138" t="s">
        <v>194</v>
      </c>
      <c r="G5" s="138" t="s">
        <v>194</v>
      </c>
      <c r="H5" s="138" t="s">
        <v>194</v>
      </c>
      <c r="I5" s="138"/>
      <c r="J5" s="138"/>
      <c r="K5" s="138"/>
    </row>
    <row r="6" spans="1:11" x14ac:dyDescent="0.25">
      <c r="A6" s="35" t="s">
        <v>5</v>
      </c>
      <c r="B6" s="138" t="s">
        <v>194</v>
      </c>
      <c r="C6" s="138" t="s">
        <v>194</v>
      </c>
      <c r="D6" s="138" t="s">
        <v>194</v>
      </c>
      <c r="E6" s="138" t="s">
        <v>194</v>
      </c>
      <c r="F6" s="138" t="s">
        <v>194</v>
      </c>
      <c r="G6" s="138" t="s">
        <v>194</v>
      </c>
      <c r="H6" s="138" t="s">
        <v>194</v>
      </c>
      <c r="I6" s="138"/>
      <c r="J6" s="138"/>
      <c r="K6" s="138"/>
    </row>
    <row r="7" spans="1:11" x14ac:dyDescent="0.25">
      <c r="A7" s="35" t="s">
        <v>53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 t="s">
        <v>194</v>
      </c>
      <c r="J7" s="138"/>
      <c r="K7" s="138"/>
    </row>
    <row r="8" spans="1:11" x14ac:dyDescent="0.25">
      <c r="A8" s="35" t="s">
        <v>54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 t="s">
        <v>194</v>
      </c>
      <c r="J8" s="138"/>
      <c r="K8" s="138"/>
    </row>
    <row r="9" spans="1:11" x14ac:dyDescent="0.25">
      <c r="A9" s="35" t="s">
        <v>55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 t="s">
        <v>194</v>
      </c>
      <c r="J9" s="138"/>
      <c r="K9" s="138"/>
    </row>
    <row r="10" spans="1:11" x14ac:dyDescent="0.25">
      <c r="A10" s="35" t="s">
        <v>56</v>
      </c>
      <c r="B10" s="138"/>
      <c r="C10" s="138" t="s">
        <v>194</v>
      </c>
      <c r="D10" s="138"/>
      <c r="E10" s="138"/>
      <c r="F10" s="138"/>
      <c r="G10" s="138"/>
      <c r="H10" s="138" t="s">
        <v>194</v>
      </c>
      <c r="I10" s="138" t="s">
        <v>194</v>
      </c>
      <c r="J10" s="138"/>
      <c r="K10" s="138"/>
    </row>
    <row r="11" spans="1:11" x14ac:dyDescent="0.25">
      <c r="A11" s="35" t="s">
        <v>49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 t="s">
        <v>194</v>
      </c>
      <c r="K11" s="138" t="s">
        <v>194</v>
      </c>
    </row>
    <row r="12" spans="1:11" x14ac:dyDescent="0.25">
      <c r="A12" s="35" t="s">
        <v>50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 t="s">
        <v>194</v>
      </c>
    </row>
    <row r="13" spans="1:11" x14ac:dyDescent="0.25">
      <c r="A13" s="35" t="s">
        <v>51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 t="s">
        <v>194</v>
      </c>
    </row>
    <row r="14" spans="1:11" x14ac:dyDescent="0.25">
      <c r="A14" s="35" t="s">
        <v>52</v>
      </c>
      <c r="B14" s="138"/>
      <c r="C14" s="138" t="s">
        <v>194</v>
      </c>
      <c r="D14" s="138"/>
      <c r="E14" s="138"/>
      <c r="F14" s="138"/>
      <c r="G14" s="138"/>
      <c r="H14" s="138"/>
      <c r="I14" s="138"/>
      <c r="J14" s="138"/>
      <c r="K14" s="138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zoomScale="85" zoomScaleNormal="85" workbookViewId="0">
      <selection activeCell="G15" sqref="G15"/>
    </sheetView>
  </sheetViews>
  <sheetFormatPr defaultColWidth="12.7265625" defaultRowHeight="12.5" x14ac:dyDescent="0.25"/>
  <cols>
    <col min="1" max="1" width="48.1796875" style="35" customWidth="1"/>
    <col min="2" max="2" width="15" style="35" customWidth="1"/>
    <col min="3" max="3" width="14.7265625" style="35" customWidth="1"/>
    <col min="4" max="16384" width="12.7265625" style="35"/>
  </cols>
  <sheetData>
    <row r="1" spans="1:10" ht="13" x14ac:dyDescent="0.3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9" t="s">
        <v>5</v>
      </c>
    </row>
    <row r="2" spans="1:10" ht="13" x14ac:dyDescent="0.3">
      <c r="A2" s="40" t="s">
        <v>220</v>
      </c>
      <c r="B2" s="146" t="s">
        <v>32</v>
      </c>
      <c r="C2" s="35" t="s">
        <v>176</v>
      </c>
      <c r="D2" s="139">
        <v>1</v>
      </c>
      <c r="E2" s="139">
        <v>1</v>
      </c>
      <c r="F2" s="139">
        <v>1</v>
      </c>
      <c r="G2" s="139">
        <v>1</v>
      </c>
      <c r="H2" s="139">
        <v>1</v>
      </c>
    </row>
    <row r="3" spans="1:10" x14ac:dyDescent="0.25">
      <c r="B3" s="146"/>
      <c r="C3" s="35" t="s">
        <v>175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J3" s="100"/>
    </row>
    <row r="4" spans="1:10" x14ac:dyDescent="0.25">
      <c r="B4" s="146"/>
      <c r="C4" s="35" t="s">
        <v>174</v>
      </c>
      <c r="D4" s="139">
        <v>1</v>
      </c>
      <c r="E4" s="139">
        <v>1</v>
      </c>
      <c r="F4" s="139">
        <v>1</v>
      </c>
      <c r="G4" s="139">
        <v>1</v>
      </c>
      <c r="H4" s="139">
        <v>1</v>
      </c>
      <c r="J4" s="100"/>
    </row>
    <row r="5" spans="1:10" x14ac:dyDescent="0.25">
      <c r="B5" s="146" t="s">
        <v>1</v>
      </c>
      <c r="C5" s="35" t="s">
        <v>176</v>
      </c>
      <c r="D5" s="139">
        <f>5.16</f>
        <v>5.16</v>
      </c>
      <c r="E5" s="139">
        <v>1</v>
      </c>
      <c r="F5" s="139">
        <v>1</v>
      </c>
      <c r="G5" s="139">
        <v>1</v>
      </c>
      <c r="H5" s="139">
        <v>1</v>
      </c>
    </row>
    <row r="6" spans="1:10" x14ac:dyDescent="0.25">
      <c r="B6" s="146"/>
      <c r="C6" s="35" t="s">
        <v>175</v>
      </c>
      <c r="D6" s="139">
        <v>5.16</v>
      </c>
      <c r="E6" s="139">
        <v>1</v>
      </c>
      <c r="F6" s="139">
        <v>1</v>
      </c>
      <c r="G6" s="139">
        <v>1</v>
      </c>
      <c r="H6" s="139">
        <v>1</v>
      </c>
    </row>
    <row r="7" spans="1:10" x14ac:dyDescent="0.25">
      <c r="B7" s="146"/>
      <c r="C7" s="35" t="s">
        <v>174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</row>
    <row r="8" spans="1:10" x14ac:dyDescent="0.25">
      <c r="B8" s="146" t="s">
        <v>2</v>
      </c>
      <c r="C8" s="35" t="s">
        <v>176</v>
      </c>
      <c r="D8" s="139">
        <v>1</v>
      </c>
      <c r="E8" s="139">
        <v>5.16</v>
      </c>
      <c r="F8" s="139">
        <v>1</v>
      </c>
      <c r="G8" s="139">
        <v>1</v>
      </c>
      <c r="H8" s="139">
        <v>1</v>
      </c>
    </row>
    <row r="9" spans="1:10" x14ac:dyDescent="0.25">
      <c r="B9" s="146"/>
      <c r="C9" s="35" t="s">
        <v>175</v>
      </c>
      <c r="D9" s="139">
        <v>1</v>
      </c>
      <c r="E9" s="139">
        <v>5.16</v>
      </c>
      <c r="F9" s="139">
        <v>1</v>
      </c>
      <c r="G9" s="139">
        <v>1</v>
      </c>
      <c r="H9" s="139">
        <v>1</v>
      </c>
    </row>
    <row r="10" spans="1:10" x14ac:dyDescent="0.25">
      <c r="B10" s="146"/>
      <c r="C10" s="35" t="s">
        <v>174</v>
      </c>
      <c r="D10" s="139">
        <v>1</v>
      </c>
      <c r="E10" s="139">
        <v>1</v>
      </c>
      <c r="F10" s="139">
        <v>1</v>
      </c>
      <c r="G10" s="139">
        <v>1</v>
      </c>
      <c r="H10" s="139">
        <v>1</v>
      </c>
    </row>
    <row r="11" spans="1:10" x14ac:dyDescent="0.25">
      <c r="B11" s="146" t="s">
        <v>3</v>
      </c>
      <c r="C11" s="35" t="s">
        <v>176</v>
      </c>
      <c r="D11" s="139">
        <v>1</v>
      </c>
      <c r="E11" s="139">
        <v>1</v>
      </c>
      <c r="F11" s="139">
        <v>1.82</v>
      </c>
      <c r="G11" s="139">
        <v>1</v>
      </c>
      <c r="H11" s="139">
        <v>1</v>
      </c>
    </row>
    <row r="12" spans="1:10" x14ac:dyDescent="0.25">
      <c r="B12" s="146"/>
      <c r="C12" s="35" t="s">
        <v>175</v>
      </c>
      <c r="D12" s="139">
        <v>1</v>
      </c>
      <c r="E12" s="139">
        <v>1</v>
      </c>
      <c r="F12" s="139">
        <v>1.82</v>
      </c>
      <c r="G12" s="139">
        <v>1</v>
      </c>
      <c r="H12" s="139">
        <v>1</v>
      </c>
    </row>
    <row r="13" spans="1:10" x14ac:dyDescent="0.25">
      <c r="B13" s="146"/>
      <c r="C13" s="35" t="s">
        <v>174</v>
      </c>
      <c r="D13" s="139">
        <v>1</v>
      </c>
      <c r="E13" s="139">
        <v>1</v>
      </c>
      <c r="F13" s="139">
        <v>1</v>
      </c>
      <c r="G13" s="139">
        <v>1</v>
      </c>
      <c r="H13" s="139">
        <v>1</v>
      </c>
    </row>
    <row r="14" spans="1:10" x14ac:dyDescent="0.25">
      <c r="B14" s="146" t="s">
        <v>4</v>
      </c>
      <c r="C14" s="35" t="s">
        <v>176</v>
      </c>
      <c r="D14" s="139">
        <v>1</v>
      </c>
      <c r="E14" s="139">
        <v>1</v>
      </c>
      <c r="F14" s="139">
        <v>1</v>
      </c>
      <c r="G14" s="139">
        <v>1.82</v>
      </c>
      <c r="H14" s="139">
        <v>1</v>
      </c>
    </row>
    <row r="15" spans="1:10" x14ac:dyDescent="0.25">
      <c r="B15" s="146"/>
      <c r="C15" s="35" t="s">
        <v>175</v>
      </c>
      <c r="D15" s="139">
        <v>1</v>
      </c>
      <c r="E15" s="139">
        <v>1</v>
      </c>
      <c r="F15" s="139">
        <v>1</v>
      </c>
      <c r="G15" s="139">
        <v>1.82</v>
      </c>
      <c r="H15" s="139">
        <v>1</v>
      </c>
    </row>
    <row r="16" spans="1:10" x14ac:dyDescent="0.25">
      <c r="B16" s="146"/>
      <c r="C16" s="35" t="s">
        <v>174</v>
      </c>
      <c r="D16" s="139">
        <v>1</v>
      </c>
      <c r="E16" s="139">
        <v>1</v>
      </c>
      <c r="F16" s="139">
        <v>1</v>
      </c>
      <c r="G16" s="139">
        <v>1</v>
      </c>
      <c r="H16" s="139">
        <v>1</v>
      </c>
    </row>
    <row r="17" spans="1:8" ht="13" x14ac:dyDescent="0.25">
      <c r="B17" s="101" t="s">
        <v>172</v>
      </c>
      <c r="C17" s="35" t="s">
        <v>174</v>
      </c>
      <c r="D17" s="139">
        <v>1.05</v>
      </c>
      <c r="E17" s="139">
        <v>1.05</v>
      </c>
      <c r="F17" s="139">
        <v>1.05</v>
      </c>
      <c r="G17" s="139">
        <v>1.05</v>
      </c>
      <c r="H17" s="139">
        <v>1</v>
      </c>
    </row>
    <row r="18" spans="1:8" x14ac:dyDescent="0.25">
      <c r="D18" s="137"/>
      <c r="E18" s="137"/>
      <c r="F18" s="137"/>
      <c r="G18" s="137"/>
      <c r="H18" s="137"/>
    </row>
    <row r="19" spans="1:8" ht="13" x14ac:dyDescent="0.3">
      <c r="A19" s="40" t="s">
        <v>221</v>
      </c>
      <c r="B19" s="146" t="s">
        <v>32</v>
      </c>
      <c r="C19" s="35" t="s">
        <v>176</v>
      </c>
      <c r="D19" s="139">
        <v>1</v>
      </c>
      <c r="E19" s="139">
        <v>1</v>
      </c>
      <c r="F19" s="139">
        <v>0.98</v>
      </c>
      <c r="G19" s="139">
        <v>0.98</v>
      </c>
      <c r="H19" s="139">
        <v>1</v>
      </c>
    </row>
    <row r="20" spans="1:8" x14ac:dyDescent="0.25">
      <c r="B20" s="146"/>
      <c r="C20" s="35" t="s">
        <v>175</v>
      </c>
      <c r="D20" s="139">
        <v>1</v>
      </c>
      <c r="E20" s="139">
        <v>1</v>
      </c>
      <c r="F20" s="139">
        <v>0.98</v>
      </c>
      <c r="G20" s="139">
        <v>0.98</v>
      </c>
      <c r="H20" s="139">
        <v>1</v>
      </c>
    </row>
    <row r="21" spans="1:8" x14ac:dyDescent="0.25">
      <c r="B21" s="146"/>
      <c r="C21" s="35" t="s">
        <v>174</v>
      </c>
      <c r="D21" s="139">
        <v>1</v>
      </c>
      <c r="E21" s="139">
        <v>1</v>
      </c>
      <c r="F21" s="139">
        <v>0.99</v>
      </c>
      <c r="G21" s="139">
        <v>0.99</v>
      </c>
      <c r="H21" s="139">
        <v>1</v>
      </c>
    </row>
    <row r="22" spans="1:8" x14ac:dyDescent="0.25">
      <c r="B22" s="146" t="s">
        <v>1</v>
      </c>
      <c r="C22" s="35" t="s">
        <v>176</v>
      </c>
      <c r="D22" s="139">
        <v>1</v>
      </c>
      <c r="E22" s="139">
        <v>1</v>
      </c>
      <c r="F22" s="139">
        <v>1</v>
      </c>
      <c r="G22" s="139">
        <v>1</v>
      </c>
      <c r="H22" s="139">
        <v>1</v>
      </c>
    </row>
    <row r="23" spans="1:8" x14ac:dyDescent="0.25">
      <c r="B23" s="146"/>
      <c r="C23" s="35" t="s">
        <v>175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</row>
    <row r="24" spans="1:8" x14ac:dyDescent="0.25">
      <c r="B24" s="146"/>
      <c r="C24" s="35" t="s">
        <v>174</v>
      </c>
      <c r="D24" s="139">
        <v>1</v>
      </c>
      <c r="E24" s="139">
        <v>1</v>
      </c>
      <c r="F24" s="139">
        <v>0.99</v>
      </c>
      <c r="G24" s="139">
        <v>0.99</v>
      </c>
      <c r="H24" s="139">
        <v>1</v>
      </c>
    </row>
    <row r="25" spans="1:8" x14ac:dyDescent="0.25">
      <c r="B25" s="146" t="s">
        <v>2</v>
      </c>
      <c r="C25" s="35" t="s">
        <v>176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</row>
    <row r="26" spans="1:8" x14ac:dyDescent="0.25">
      <c r="B26" s="146"/>
      <c r="C26" s="35" t="s">
        <v>175</v>
      </c>
      <c r="D26" s="139">
        <v>1</v>
      </c>
      <c r="E26" s="139">
        <v>1</v>
      </c>
      <c r="F26" s="139">
        <v>1</v>
      </c>
      <c r="G26" s="139">
        <v>1</v>
      </c>
      <c r="H26" s="139">
        <v>1</v>
      </c>
    </row>
    <row r="27" spans="1:8" x14ac:dyDescent="0.25">
      <c r="B27" s="146"/>
      <c r="C27" s="35" t="s">
        <v>174</v>
      </c>
      <c r="D27" s="139">
        <v>1</v>
      </c>
      <c r="E27" s="139">
        <v>1</v>
      </c>
      <c r="F27" s="139">
        <v>0.99</v>
      </c>
      <c r="G27" s="139">
        <v>0.99</v>
      </c>
      <c r="H27" s="139">
        <v>1</v>
      </c>
    </row>
    <row r="28" spans="1:8" x14ac:dyDescent="0.25">
      <c r="B28" s="146" t="s">
        <v>3</v>
      </c>
      <c r="C28" s="35" t="s">
        <v>176</v>
      </c>
      <c r="D28" s="139">
        <v>1</v>
      </c>
      <c r="E28" s="139">
        <v>1</v>
      </c>
      <c r="F28" s="139">
        <v>0.78</v>
      </c>
      <c r="G28" s="139">
        <v>1</v>
      </c>
      <c r="H28" s="139">
        <v>1</v>
      </c>
    </row>
    <row r="29" spans="1:8" x14ac:dyDescent="0.25">
      <c r="B29" s="146"/>
      <c r="C29" s="35" t="s">
        <v>175</v>
      </c>
      <c r="D29" s="139">
        <v>1</v>
      </c>
      <c r="E29" s="139">
        <v>1</v>
      </c>
      <c r="F29" s="139">
        <v>0.78</v>
      </c>
      <c r="G29" s="139">
        <v>1</v>
      </c>
      <c r="H29" s="139">
        <v>1</v>
      </c>
    </row>
    <row r="30" spans="1:8" x14ac:dyDescent="0.25">
      <c r="B30" s="146"/>
      <c r="C30" s="35" t="s">
        <v>174</v>
      </c>
      <c r="D30" s="139">
        <v>1</v>
      </c>
      <c r="E30" s="139">
        <v>1</v>
      </c>
      <c r="F30" s="139">
        <v>0.99</v>
      </c>
      <c r="G30" s="139">
        <v>0.99</v>
      </c>
      <c r="H30" s="139">
        <v>1</v>
      </c>
    </row>
    <row r="31" spans="1:8" x14ac:dyDescent="0.25">
      <c r="B31" s="146" t="s">
        <v>4</v>
      </c>
      <c r="C31" s="35" t="s">
        <v>176</v>
      </c>
      <c r="D31" s="139">
        <v>1</v>
      </c>
      <c r="E31" s="139">
        <v>1</v>
      </c>
      <c r="F31" s="139">
        <v>1</v>
      </c>
      <c r="G31" s="139">
        <v>0.78</v>
      </c>
      <c r="H31" s="139">
        <v>1</v>
      </c>
    </row>
    <row r="32" spans="1:8" x14ac:dyDescent="0.25">
      <c r="B32" s="146"/>
      <c r="C32" s="35" t="s">
        <v>175</v>
      </c>
      <c r="D32" s="139">
        <v>1</v>
      </c>
      <c r="E32" s="139">
        <v>1</v>
      </c>
      <c r="F32" s="139">
        <v>1</v>
      </c>
      <c r="G32" s="139">
        <v>0.78</v>
      </c>
      <c r="H32" s="139">
        <v>1</v>
      </c>
    </row>
    <row r="33" spans="1:8" x14ac:dyDescent="0.25">
      <c r="B33" s="146"/>
      <c r="C33" s="35" t="s">
        <v>174</v>
      </c>
      <c r="D33" s="139">
        <v>1</v>
      </c>
      <c r="E33" s="139">
        <v>1</v>
      </c>
      <c r="F33" s="139">
        <v>1</v>
      </c>
      <c r="G33" s="139">
        <v>0.99</v>
      </c>
      <c r="H33" s="139">
        <v>1</v>
      </c>
    </row>
    <row r="34" spans="1:8" ht="13" x14ac:dyDescent="0.25">
      <c r="B34" s="101" t="s">
        <v>172</v>
      </c>
      <c r="C34" s="35" t="s">
        <v>174</v>
      </c>
      <c r="D34" s="139">
        <v>1</v>
      </c>
      <c r="E34" s="139">
        <v>1</v>
      </c>
      <c r="F34" s="139">
        <v>0.95</v>
      </c>
      <c r="G34" s="139">
        <v>0.95</v>
      </c>
      <c r="H34" s="139">
        <v>1</v>
      </c>
    </row>
    <row r="35" spans="1:8" x14ac:dyDescent="0.25">
      <c r="D35" s="137"/>
      <c r="E35" s="137"/>
      <c r="F35" s="137"/>
      <c r="G35" s="137"/>
      <c r="H35" s="137"/>
    </row>
    <row r="36" spans="1:8" ht="13" x14ac:dyDescent="0.3">
      <c r="A36" s="102" t="s">
        <v>222</v>
      </c>
      <c r="B36" s="146" t="s">
        <v>32</v>
      </c>
      <c r="C36" s="35" t="s">
        <v>176</v>
      </c>
      <c r="D36" s="139">
        <v>1</v>
      </c>
      <c r="E36" s="139">
        <v>1</v>
      </c>
      <c r="F36" s="139">
        <v>1</v>
      </c>
      <c r="G36" s="139">
        <v>1</v>
      </c>
      <c r="H36" s="139">
        <v>1</v>
      </c>
    </row>
    <row r="37" spans="1:8" x14ac:dyDescent="0.25">
      <c r="B37" s="146"/>
      <c r="C37" s="35" t="s">
        <v>175</v>
      </c>
      <c r="D37" s="139">
        <v>1</v>
      </c>
      <c r="E37" s="139">
        <v>1</v>
      </c>
      <c r="F37" s="139">
        <v>1</v>
      </c>
      <c r="G37" s="139">
        <v>1</v>
      </c>
      <c r="H37" s="139">
        <v>1</v>
      </c>
    </row>
    <row r="38" spans="1:8" x14ac:dyDescent="0.25">
      <c r="B38" s="146"/>
      <c r="C38" s="35" t="s">
        <v>174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</row>
    <row r="39" spans="1:8" x14ac:dyDescent="0.25">
      <c r="B39" s="146" t="s">
        <v>1</v>
      </c>
      <c r="C39" s="35" t="s">
        <v>176</v>
      </c>
      <c r="D39" s="139">
        <v>1</v>
      </c>
      <c r="E39" s="139">
        <v>1</v>
      </c>
      <c r="F39" s="139">
        <v>1</v>
      </c>
      <c r="G39" s="139">
        <v>1</v>
      </c>
      <c r="H39" s="139">
        <v>1</v>
      </c>
    </row>
    <row r="40" spans="1:8" x14ac:dyDescent="0.25">
      <c r="B40" s="146"/>
      <c r="C40" s="35" t="s">
        <v>175</v>
      </c>
      <c r="D40" s="139">
        <v>1</v>
      </c>
      <c r="E40" s="139">
        <v>1</v>
      </c>
      <c r="F40" s="139">
        <v>1</v>
      </c>
      <c r="G40" s="139">
        <v>1</v>
      </c>
      <c r="H40" s="139">
        <v>1</v>
      </c>
    </row>
    <row r="41" spans="1:8" x14ac:dyDescent="0.25">
      <c r="B41" s="146"/>
      <c r="C41" s="35" t="s">
        <v>174</v>
      </c>
      <c r="D41" s="139">
        <v>1</v>
      </c>
      <c r="E41" s="139">
        <v>1</v>
      </c>
      <c r="F41" s="139">
        <v>1</v>
      </c>
      <c r="G41" s="139">
        <v>1</v>
      </c>
      <c r="H41" s="139">
        <v>1</v>
      </c>
    </row>
    <row r="42" spans="1:8" x14ac:dyDescent="0.25">
      <c r="B42" s="146" t="s">
        <v>2</v>
      </c>
      <c r="C42" s="35" t="s">
        <v>176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</row>
    <row r="43" spans="1:8" x14ac:dyDescent="0.25">
      <c r="B43" s="146"/>
      <c r="C43" s="35" t="s">
        <v>175</v>
      </c>
      <c r="D43" s="139">
        <v>1</v>
      </c>
      <c r="E43" s="139">
        <v>1</v>
      </c>
      <c r="F43" s="139">
        <v>1</v>
      </c>
      <c r="G43" s="139">
        <v>1</v>
      </c>
      <c r="H43" s="139">
        <v>1</v>
      </c>
    </row>
    <row r="44" spans="1:8" x14ac:dyDescent="0.25">
      <c r="B44" s="146"/>
      <c r="C44" s="35" t="s">
        <v>174</v>
      </c>
      <c r="D44" s="139">
        <v>1</v>
      </c>
      <c r="E44" s="139">
        <v>1</v>
      </c>
      <c r="F44" s="139">
        <v>1</v>
      </c>
      <c r="G44" s="139">
        <v>1</v>
      </c>
      <c r="H44" s="139">
        <v>1</v>
      </c>
    </row>
    <row r="45" spans="1:8" x14ac:dyDescent="0.25">
      <c r="B45" s="146" t="s">
        <v>3</v>
      </c>
      <c r="C45" s="35" t="s">
        <v>176</v>
      </c>
      <c r="D45" s="139">
        <v>1</v>
      </c>
      <c r="E45" s="139">
        <v>1</v>
      </c>
      <c r="F45" s="139">
        <v>1.82</v>
      </c>
      <c r="G45" s="139">
        <v>1</v>
      </c>
      <c r="H45" s="139">
        <v>1</v>
      </c>
    </row>
    <row r="46" spans="1:8" x14ac:dyDescent="0.25">
      <c r="B46" s="146"/>
      <c r="C46" s="35" t="s">
        <v>175</v>
      </c>
      <c r="D46" s="139">
        <v>1</v>
      </c>
      <c r="E46" s="139">
        <v>1</v>
      </c>
      <c r="F46" s="139">
        <v>1.82</v>
      </c>
      <c r="G46" s="139">
        <v>1</v>
      </c>
      <c r="H46" s="139">
        <v>1</v>
      </c>
    </row>
    <row r="47" spans="1:8" x14ac:dyDescent="0.25">
      <c r="B47" s="146"/>
      <c r="C47" s="35" t="s">
        <v>174</v>
      </c>
      <c r="D47" s="139">
        <v>1</v>
      </c>
      <c r="E47" s="139">
        <v>1</v>
      </c>
      <c r="F47" s="139">
        <v>1</v>
      </c>
      <c r="G47" s="139">
        <v>1</v>
      </c>
      <c r="H47" s="139">
        <v>1</v>
      </c>
    </row>
    <row r="48" spans="1:8" x14ac:dyDescent="0.25">
      <c r="B48" s="146" t="s">
        <v>4</v>
      </c>
      <c r="C48" s="35" t="s">
        <v>176</v>
      </c>
      <c r="D48" s="139">
        <v>1</v>
      </c>
      <c r="E48" s="139">
        <v>1</v>
      </c>
      <c r="F48" s="139">
        <v>1</v>
      </c>
      <c r="G48" s="139">
        <v>1.82</v>
      </c>
      <c r="H48" s="139">
        <v>1</v>
      </c>
    </row>
    <row r="49" spans="2:8" x14ac:dyDescent="0.25">
      <c r="B49" s="146"/>
      <c r="C49" s="35" t="s">
        <v>175</v>
      </c>
      <c r="D49" s="139">
        <v>1</v>
      </c>
      <c r="E49" s="139">
        <v>1</v>
      </c>
      <c r="F49" s="139">
        <v>1</v>
      </c>
      <c r="G49" s="139">
        <v>1.82</v>
      </c>
      <c r="H49" s="139">
        <v>1</v>
      </c>
    </row>
    <row r="50" spans="2:8" x14ac:dyDescent="0.25">
      <c r="B50" s="146"/>
      <c r="C50" s="35" t="s">
        <v>174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</row>
    <row r="51" spans="2:8" ht="13" x14ac:dyDescent="0.25">
      <c r="B51" s="103" t="s">
        <v>172</v>
      </c>
      <c r="C51" s="35" t="s">
        <v>174</v>
      </c>
      <c r="D51" s="139">
        <v>1.05</v>
      </c>
      <c r="E51" s="139">
        <v>1.05</v>
      </c>
      <c r="F51" s="139">
        <v>1.05</v>
      </c>
      <c r="G51" s="139">
        <v>1.05</v>
      </c>
      <c r="H51" s="139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1796875" defaultRowHeight="15.75" customHeight="1" x14ac:dyDescent="0.25"/>
  <cols>
    <col min="1" max="1" width="23.81640625" style="35" customWidth="1"/>
    <col min="2" max="2" width="34.1796875" style="35" customWidth="1"/>
    <col min="3" max="3" width="11.26953125" style="35" bestFit="1" customWidth="1"/>
    <col min="4" max="4" width="11.81640625" style="35" customWidth="1"/>
    <col min="5" max="6" width="15" style="35" customWidth="1"/>
    <col min="7" max="16384" width="16.1796875" style="35"/>
  </cols>
  <sheetData>
    <row r="1" spans="1:7" s="105" customFormat="1" ht="18.75" customHeight="1" x14ac:dyDescent="0.3">
      <c r="A1" s="104" t="s">
        <v>223</v>
      </c>
    </row>
    <row r="2" spans="1:7" ht="15.75" customHeight="1" x14ac:dyDescent="0.3">
      <c r="B2" s="106"/>
      <c r="C2" s="107" t="s">
        <v>26</v>
      </c>
      <c r="D2" s="108" t="s">
        <v>12</v>
      </c>
      <c r="E2" s="108" t="s">
        <v>11</v>
      </c>
      <c r="F2" s="108" t="s">
        <v>9</v>
      </c>
    </row>
    <row r="3" spans="1:7" ht="15.75" customHeight="1" x14ac:dyDescent="0.3">
      <c r="A3" s="40" t="s">
        <v>224</v>
      </c>
      <c r="B3" s="109"/>
      <c r="C3" s="110"/>
      <c r="D3" s="111"/>
      <c r="E3" s="111"/>
      <c r="F3" s="111"/>
    </row>
    <row r="4" spans="1:7" ht="15.75" customHeight="1" x14ac:dyDescent="0.25">
      <c r="B4" s="112" t="s">
        <v>75</v>
      </c>
      <c r="C4" s="140">
        <v>1</v>
      </c>
      <c r="D4" s="141">
        <v>1</v>
      </c>
      <c r="E4" s="141">
        <v>1</v>
      </c>
      <c r="F4" s="141">
        <v>1</v>
      </c>
    </row>
    <row r="5" spans="1:7" ht="15.75" customHeight="1" x14ac:dyDescent="0.25">
      <c r="B5" s="112" t="s">
        <v>76</v>
      </c>
      <c r="C5" s="140">
        <v>1</v>
      </c>
      <c r="D5" s="141">
        <v>1.41</v>
      </c>
      <c r="E5" s="141">
        <v>1.49</v>
      </c>
      <c r="F5" s="141">
        <v>3.03</v>
      </c>
    </row>
    <row r="6" spans="1:7" ht="15.75" customHeight="1" x14ac:dyDescent="0.25">
      <c r="B6" s="112" t="s">
        <v>77</v>
      </c>
      <c r="C6" s="140">
        <v>1</v>
      </c>
      <c r="D6" s="141">
        <v>1.18</v>
      </c>
      <c r="E6" s="141">
        <v>1.1000000000000001</v>
      </c>
      <c r="F6" s="141">
        <v>1.77</v>
      </c>
    </row>
    <row r="7" spans="1:7" ht="15.75" customHeight="1" x14ac:dyDescent="0.25">
      <c r="B7" s="112" t="s">
        <v>78</v>
      </c>
      <c r="C7" s="140">
        <v>1</v>
      </c>
      <c r="D7" s="141">
        <v>1</v>
      </c>
      <c r="E7" s="141">
        <v>1</v>
      </c>
      <c r="F7" s="141">
        <v>1</v>
      </c>
    </row>
    <row r="8" spans="1:7" ht="15.75" customHeight="1" x14ac:dyDescent="0.25">
      <c r="C8" s="113"/>
      <c r="D8" s="100"/>
      <c r="E8" s="100"/>
      <c r="F8" s="100"/>
    </row>
    <row r="9" spans="1:7" ht="15.75" customHeight="1" x14ac:dyDescent="0.3">
      <c r="A9" s="40" t="s">
        <v>225</v>
      </c>
      <c r="C9" s="140">
        <v>1</v>
      </c>
      <c r="D9" s="141">
        <v>1.53</v>
      </c>
      <c r="E9" s="141">
        <v>1.32</v>
      </c>
      <c r="F9" s="141">
        <v>1.53</v>
      </c>
      <c r="G9" s="114"/>
    </row>
    <row r="10" spans="1:7" ht="15.75" customHeight="1" x14ac:dyDescent="0.25">
      <c r="C10" s="113"/>
      <c r="D10" s="100"/>
      <c r="E10" s="100"/>
      <c r="F10" s="100"/>
      <c r="G10" s="114"/>
    </row>
    <row r="11" spans="1:7" s="105" customFormat="1" ht="15" customHeight="1" x14ac:dyDescent="0.3">
      <c r="A11" s="104" t="s">
        <v>226</v>
      </c>
      <c r="C11" s="115"/>
      <c r="D11" s="116"/>
      <c r="E11" s="116"/>
      <c r="F11" s="116"/>
      <c r="G11" s="117"/>
    </row>
    <row r="12" spans="1:7" ht="15.75" customHeight="1" x14ac:dyDescent="0.3">
      <c r="A12" s="40" t="s">
        <v>227</v>
      </c>
      <c r="C12" s="113"/>
      <c r="D12" s="100"/>
      <c r="E12" s="100"/>
      <c r="F12" s="100"/>
      <c r="G12" s="114"/>
    </row>
    <row r="13" spans="1:7" ht="15.75" customHeight="1" x14ac:dyDescent="0.25">
      <c r="B13" s="118" t="s">
        <v>228</v>
      </c>
      <c r="C13" s="140">
        <v>1</v>
      </c>
      <c r="D13" s="141">
        <v>5</v>
      </c>
      <c r="E13" s="141">
        <v>6.4</v>
      </c>
      <c r="F13" s="141">
        <v>46.5</v>
      </c>
      <c r="G13" s="114"/>
    </row>
    <row r="14" spans="1:7" ht="15.75" customHeight="1" x14ac:dyDescent="0.25">
      <c r="B14" s="118" t="s">
        <v>229</v>
      </c>
      <c r="C14" s="140">
        <v>1</v>
      </c>
      <c r="D14" s="141">
        <v>2.52</v>
      </c>
      <c r="E14" s="141">
        <v>1.96</v>
      </c>
      <c r="F14" s="141">
        <v>4.1900000000000004</v>
      </c>
      <c r="G14" s="114"/>
    </row>
    <row r="15" spans="1:7" ht="15.75" customHeight="1" x14ac:dyDescent="0.25">
      <c r="B15" s="118" t="s">
        <v>230</v>
      </c>
      <c r="C15" s="140">
        <v>1</v>
      </c>
      <c r="D15" s="141">
        <v>2.52</v>
      </c>
      <c r="E15" s="141">
        <v>1.96</v>
      </c>
      <c r="F15" s="141">
        <v>4.1900000000000004</v>
      </c>
      <c r="G15" s="114"/>
    </row>
    <row r="16" spans="1:7" ht="15.75" customHeight="1" x14ac:dyDescent="0.3">
      <c r="A16" s="40"/>
      <c r="B16" s="118"/>
      <c r="C16" s="119"/>
      <c r="D16" s="100"/>
      <c r="E16" s="100"/>
      <c r="F16" s="100"/>
      <c r="G16" s="114"/>
    </row>
    <row r="17" spans="1:7" ht="15.75" customHeight="1" x14ac:dyDescent="0.3">
      <c r="A17" s="40" t="s">
        <v>231</v>
      </c>
      <c r="B17" s="109"/>
      <c r="C17" s="120"/>
      <c r="D17" s="121"/>
      <c r="E17" s="121"/>
      <c r="F17" s="121"/>
      <c r="G17" s="114"/>
    </row>
    <row r="18" spans="1:7" ht="15.75" customHeight="1" x14ac:dyDescent="0.25">
      <c r="B18" s="122" t="s">
        <v>73</v>
      </c>
      <c r="C18" s="140">
        <v>1</v>
      </c>
      <c r="D18" s="141">
        <v>1</v>
      </c>
      <c r="E18" s="141">
        <v>1</v>
      </c>
      <c r="F18" s="141">
        <v>1</v>
      </c>
      <c r="G18" s="114"/>
    </row>
    <row r="19" spans="1:7" ht="15.75" customHeight="1" x14ac:dyDescent="0.25">
      <c r="B19" s="122" t="s">
        <v>7</v>
      </c>
      <c r="C19" s="140">
        <v>1</v>
      </c>
      <c r="D19" s="141">
        <v>2.0699999999999998</v>
      </c>
      <c r="E19" s="141">
        <v>8.02</v>
      </c>
      <c r="F19" s="141">
        <v>11.54</v>
      </c>
      <c r="G19" s="114"/>
    </row>
    <row r="20" spans="1:7" ht="15.75" customHeight="1" x14ac:dyDescent="0.25">
      <c r="B20" s="122" t="s">
        <v>8</v>
      </c>
      <c r="C20" s="140">
        <v>1</v>
      </c>
      <c r="D20" s="141">
        <v>2.0699999999999998</v>
      </c>
      <c r="E20" s="141">
        <v>8.02</v>
      </c>
      <c r="F20" s="141">
        <v>11.54</v>
      </c>
      <c r="G20" s="114"/>
    </row>
    <row r="21" spans="1:7" ht="15.75" customHeight="1" x14ac:dyDescent="0.25">
      <c r="B21" s="122" t="s">
        <v>10</v>
      </c>
      <c r="C21" s="140">
        <v>1</v>
      </c>
      <c r="D21" s="141">
        <v>2.0699999999999998</v>
      </c>
      <c r="E21" s="141">
        <v>8.02</v>
      </c>
      <c r="F21" s="141">
        <v>11.54</v>
      </c>
      <c r="G21" s="114"/>
    </row>
    <row r="22" spans="1:7" ht="15.75" customHeight="1" x14ac:dyDescent="0.25">
      <c r="B22" s="122" t="s">
        <v>13</v>
      </c>
      <c r="C22" s="140">
        <v>1</v>
      </c>
      <c r="D22" s="141">
        <v>1</v>
      </c>
      <c r="E22" s="141">
        <v>999.99</v>
      </c>
      <c r="F22" s="141">
        <v>999.99</v>
      </c>
    </row>
    <row r="23" spans="1:7" ht="15.75" customHeight="1" x14ac:dyDescent="0.25">
      <c r="B23" s="122" t="s">
        <v>14</v>
      </c>
      <c r="C23" s="140">
        <v>1</v>
      </c>
      <c r="D23" s="141">
        <v>1</v>
      </c>
      <c r="E23" s="141">
        <v>1</v>
      </c>
      <c r="F23" s="141">
        <v>1</v>
      </c>
    </row>
    <row r="24" spans="1:7" ht="15.75" customHeight="1" x14ac:dyDescent="0.25">
      <c r="B24" s="122" t="s">
        <v>27</v>
      </c>
      <c r="C24" s="140">
        <v>1</v>
      </c>
      <c r="D24" s="141">
        <v>1</v>
      </c>
      <c r="E24" s="141">
        <v>1</v>
      </c>
      <c r="F24" s="141">
        <v>1</v>
      </c>
    </row>
    <row r="25" spans="1:7" ht="15.75" customHeight="1" x14ac:dyDescent="0.25">
      <c r="B25" s="122" t="s">
        <v>15</v>
      </c>
      <c r="C25" s="140">
        <v>1</v>
      </c>
      <c r="D25" s="141">
        <v>1</v>
      </c>
      <c r="E25" s="141">
        <v>1</v>
      </c>
      <c r="F25" s="141">
        <v>1</v>
      </c>
    </row>
    <row r="26" spans="1:7" ht="15.75" customHeight="1" x14ac:dyDescent="0.25">
      <c r="B26" s="118"/>
    </row>
    <row r="28" spans="1:7" ht="15.75" customHeight="1" x14ac:dyDescent="0.3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265625" defaultRowHeight="12.5" x14ac:dyDescent="0.25"/>
  <cols>
    <col min="1" max="1" width="27.26953125" style="35" customWidth="1"/>
    <col min="2" max="2" width="26.81640625" style="35" customWidth="1"/>
    <col min="3" max="3" width="18.26953125" style="35" customWidth="1"/>
    <col min="4" max="8" width="14.7265625" style="35" customWidth="1"/>
    <col min="9" max="12" width="15.26953125" style="35" bestFit="1" customWidth="1"/>
    <col min="13" max="16" width="16.81640625" style="35" bestFit="1" customWidth="1"/>
    <col min="17" max="16384" width="12.7265625" style="35"/>
  </cols>
  <sheetData>
    <row r="1" spans="1:16" s="105" customFormat="1" ht="13" x14ac:dyDescent="0.3">
      <c r="A1" s="104" t="s">
        <v>232</v>
      </c>
    </row>
    <row r="2" spans="1:16" ht="13" x14ac:dyDescent="0.3">
      <c r="A2" s="123" t="s">
        <v>213</v>
      </c>
      <c r="B2" s="124" t="s">
        <v>233</v>
      </c>
      <c r="C2" s="124" t="s">
        <v>234</v>
      </c>
      <c r="D2" s="108" t="s">
        <v>1</v>
      </c>
      <c r="E2" s="108" t="s">
        <v>2</v>
      </c>
      <c r="F2" s="108" t="s">
        <v>3</v>
      </c>
      <c r="G2" s="108" t="s">
        <v>4</v>
      </c>
      <c r="H2" s="108" t="s">
        <v>5</v>
      </c>
      <c r="I2" s="125"/>
      <c r="J2" s="125"/>
      <c r="K2" s="125"/>
      <c r="L2" s="125"/>
      <c r="M2" s="125"/>
      <c r="N2" s="125"/>
      <c r="O2" s="125"/>
      <c r="P2" s="125"/>
    </row>
    <row r="3" spans="1:16" ht="13" x14ac:dyDescent="0.3">
      <c r="A3" s="40"/>
      <c r="B3" s="35" t="s">
        <v>71</v>
      </c>
      <c r="C3" s="43" t="s">
        <v>235</v>
      </c>
      <c r="D3" s="140">
        <v>1</v>
      </c>
      <c r="E3" s="140">
        <v>1</v>
      </c>
      <c r="F3" s="140">
        <v>1</v>
      </c>
      <c r="G3" s="140">
        <v>1</v>
      </c>
      <c r="H3" s="140">
        <v>1</v>
      </c>
      <c r="I3" s="123"/>
      <c r="J3" s="123"/>
      <c r="K3" s="123"/>
      <c r="L3" s="123"/>
      <c r="M3" s="123"/>
      <c r="N3" s="123"/>
      <c r="O3" s="123"/>
      <c r="P3" s="123"/>
    </row>
    <row r="4" spans="1:16" x14ac:dyDescent="0.25">
      <c r="C4" s="43" t="s">
        <v>236</v>
      </c>
      <c r="D4" s="141">
        <v>1</v>
      </c>
      <c r="E4" s="141">
        <v>1.67</v>
      </c>
      <c r="F4" s="141">
        <v>1.67</v>
      </c>
      <c r="G4" s="141">
        <v>1.67</v>
      </c>
      <c r="H4" s="141">
        <v>1.67</v>
      </c>
      <c r="I4" s="123"/>
      <c r="J4" s="123"/>
      <c r="K4" s="123"/>
      <c r="L4" s="123"/>
      <c r="M4" s="123"/>
      <c r="N4" s="123"/>
      <c r="O4" s="123"/>
      <c r="P4" s="123"/>
    </row>
    <row r="5" spans="1:16" x14ac:dyDescent="0.25">
      <c r="C5" s="43" t="s">
        <v>237</v>
      </c>
      <c r="D5" s="141">
        <v>1</v>
      </c>
      <c r="E5" s="141">
        <v>2.38</v>
      </c>
      <c r="F5" s="141">
        <v>2.38</v>
      </c>
      <c r="G5" s="141">
        <v>2.38</v>
      </c>
      <c r="H5" s="141">
        <v>2.38</v>
      </c>
      <c r="I5" s="123"/>
      <c r="J5" s="123"/>
      <c r="K5" s="123"/>
      <c r="L5" s="123"/>
      <c r="M5" s="123"/>
      <c r="N5" s="123"/>
      <c r="O5" s="123"/>
      <c r="P5" s="123"/>
    </row>
    <row r="6" spans="1:16" x14ac:dyDescent="0.25">
      <c r="C6" s="43" t="s">
        <v>238</v>
      </c>
      <c r="D6" s="141">
        <v>1</v>
      </c>
      <c r="E6" s="141">
        <v>6.33</v>
      </c>
      <c r="F6" s="141">
        <v>6.33</v>
      </c>
      <c r="G6" s="141">
        <v>6.33</v>
      </c>
      <c r="H6" s="141">
        <v>6.33</v>
      </c>
      <c r="I6" s="123"/>
      <c r="J6" s="123"/>
      <c r="K6" s="123"/>
      <c r="L6" s="123"/>
      <c r="M6" s="123"/>
      <c r="N6" s="123"/>
      <c r="O6" s="123"/>
      <c r="P6" s="123"/>
    </row>
    <row r="7" spans="1:16" x14ac:dyDescent="0.25">
      <c r="B7" s="35" t="s">
        <v>16</v>
      </c>
      <c r="C7" s="43" t="s">
        <v>235</v>
      </c>
      <c r="D7" s="140">
        <v>1</v>
      </c>
      <c r="E7" s="140">
        <v>1</v>
      </c>
      <c r="F7" s="140">
        <v>1</v>
      </c>
      <c r="G7" s="140">
        <v>1</v>
      </c>
      <c r="H7" s="140">
        <v>1</v>
      </c>
      <c r="I7" s="123"/>
      <c r="J7" s="123"/>
      <c r="K7" s="123"/>
      <c r="L7" s="123"/>
      <c r="M7" s="123"/>
      <c r="N7" s="123"/>
      <c r="O7" s="123"/>
      <c r="P7" s="123"/>
    </row>
    <row r="8" spans="1:16" x14ac:dyDescent="0.25">
      <c r="C8" s="43" t="s">
        <v>236</v>
      </c>
      <c r="D8" s="141">
        <v>1</v>
      </c>
      <c r="E8" s="141">
        <v>1.55</v>
      </c>
      <c r="F8" s="141">
        <v>1.55</v>
      </c>
      <c r="G8" s="141">
        <v>1.55</v>
      </c>
      <c r="H8" s="141">
        <v>1.55</v>
      </c>
      <c r="I8" s="123"/>
      <c r="J8" s="123"/>
      <c r="K8" s="123"/>
      <c r="L8" s="123"/>
      <c r="M8" s="123"/>
      <c r="N8" s="123"/>
      <c r="O8" s="123"/>
      <c r="P8" s="123"/>
    </row>
    <row r="9" spans="1:16" x14ac:dyDescent="0.25">
      <c r="C9" s="43" t="s">
        <v>237</v>
      </c>
      <c r="D9" s="141">
        <v>1</v>
      </c>
      <c r="E9" s="141">
        <v>2.1800000000000002</v>
      </c>
      <c r="F9" s="141">
        <v>2.1800000000000002</v>
      </c>
      <c r="G9" s="141">
        <v>2.1800000000000002</v>
      </c>
      <c r="H9" s="141">
        <v>2.1800000000000002</v>
      </c>
      <c r="I9" s="123"/>
      <c r="J9" s="123"/>
      <c r="K9" s="123"/>
      <c r="L9" s="123"/>
      <c r="M9" s="123"/>
      <c r="N9" s="123"/>
      <c r="O9" s="123"/>
      <c r="P9" s="123"/>
    </row>
    <row r="10" spans="1:16" x14ac:dyDescent="0.25">
      <c r="C10" s="43" t="s">
        <v>238</v>
      </c>
      <c r="D10" s="141">
        <v>1</v>
      </c>
      <c r="E10" s="141">
        <v>6.39</v>
      </c>
      <c r="F10" s="141">
        <v>6.39</v>
      </c>
      <c r="G10" s="141">
        <v>6.39</v>
      </c>
      <c r="H10" s="141">
        <v>6.39</v>
      </c>
      <c r="I10" s="123"/>
      <c r="J10" s="123"/>
      <c r="K10" s="123"/>
      <c r="L10" s="123"/>
      <c r="M10" s="123"/>
      <c r="N10" s="123"/>
      <c r="O10" s="123"/>
      <c r="P10" s="123"/>
    </row>
    <row r="11" spans="1:16" x14ac:dyDescent="0.25">
      <c r="B11" s="35" t="s">
        <v>18</v>
      </c>
      <c r="C11" s="43" t="s">
        <v>235</v>
      </c>
      <c r="D11" s="140">
        <v>1</v>
      </c>
      <c r="E11" s="140">
        <v>1</v>
      </c>
      <c r="F11" s="140">
        <v>1</v>
      </c>
      <c r="G11" s="140">
        <v>1</v>
      </c>
      <c r="H11" s="140">
        <v>1</v>
      </c>
      <c r="I11" s="123"/>
      <c r="J11" s="123"/>
      <c r="K11" s="123"/>
      <c r="L11" s="123"/>
      <c r="M11" s="123"/>
      <c r="N11" s="123"/>
      <c r="O11" s="123"/>
      <c r="P11" s="123"/>
    </row>
    <row r="12" spans="1:16" x14ac:dyDescent="0.25">
      <c r="C12" s="43" t="s">
        <v>236</v>
      </c>
      <c r="D12" s="141">
        <v>1</v>
      </c>
      <c r="E12" s="141">
        <v>1</v>
      </c>
      <c r="F12" s="141">
        <v>1</v>
      </c>
      <c r="G12" s="141">
        <v>1</v>
      </c>
      <c r="H12" s="141">
        <v>1</v>
      </c>
      <c r="I12" s="123"/>
      <c r="J12" s="123"/>
      <c r="K12" s="123"/>
      <c r="L12" s="123"/>
      <c r="M12" s="123"/>
      <c r="N12" s="123"/>
      <c r="O12" s="123"/>
      <c r="P12" s="123"/>
    </row>
    <row r="13" spans="1:16" x14ac:dyDescent="0.25">
      <c r="C13" s="43" t="s">
        <v>237</v>
      </c>
      <c r="D13" s="141">
        <v>1</v>
      </c>
      <c r="E13" s="141">
        <v>2.79</v>
      </c>
      <c r="F13" s="141">
        <v>2.79</v>
      </c>
      <c r="G13" s="141">
        <v>2.79</v>
      </c>
      <c r="H13" s="141">
        <v>2.79</v>
      </c>
      <c r="I13" s="123"/>
      <c r="J13" s="123"/>
      <c r="K13" s="123"/>
      <c r="L13" s="123"/>
      <c r="M13" s="123"/>
      <c r="N13" s="123"/>
      <c r="O13" s="123"/>
      <c r="P13" s="123"/>
    </row>
    <row r="14" spans="1:16" x14ac:dyDescent="0.25">
      <c r="C14" s="43" t="s">
        <v>238</v>
      </c>
      <c r="D14" s="141">
        <v>1</v>
      </c>
      <c r="E14" s="141">
        <v>6.01</v>
      </c>
      <c r="F14" s="141">
        <v>6.01</v>
      </c>
      <c r="G14" s="141">
        <v>6.01</v>
      </c>
      <c r="H14" s="141">
        <v>6.01</v>
      </c>
      <c r="I14" s="123"/>
      <c r="J14" s="123"/>
      <c r="K14" s="123"/>
      <c r="L14" s="123"/>
      <c r="M14" s="123"/>
      <c r="N14" s="123"/>
      <c r="O14" s="123"/>
      <c r="P14" s="123"/>
    </row>
    <row r="15" spans="1:16" x14ac:dyDescent="0.25">
      <c r="B15" s="35" t="s">
        <v>19</v>
      </c>
      <c r="C15" s="43" t="s">
        <v>235</v>
      </c>
      <c r="D15" s="140">
        <v>1</v>
      </c>
      <c r="E15" s="140">
        <v>1</v>
      </c>
      <c r="F15" s="140">
        <v>1</v>
      </c>
      <c r="G15" s="140">
        <v>1</v>
      </c>
      <c r="H15" s="140">
        <v>1</v>
      </c>
      <c r="I15" s="123"/>
      <c r="J15" s="123"/>
      <c r="K15" s="123"/>
      <c r="L15" s="123"/>
      <c r="M15" s="123"/>
      <c r="N15" s="123"/>
      <c r="O15" s="123"/>
      <c r="P15" s="123"/>
    </row>
    <row r="16" spans="1:16" x14ac:dyDescent="0.25">
      <c r="C16" s="43" t="s">
        <v>236</v>
      </c>
      <c r="D16" s="141">
        <v>1</v>
      </c>
      <c r="E16" s="141">
        <v>1</v>
      </c>
      <c r="F16" s="141">
        <v>1</v>
      </c>
      <c r="G16" s="141">
        <v>1</v>
      </c>
      <c r="H16" s="141">
        <v>1</v>
      </c>
      <c r="I16" s="123"/>
      <c r="J16" s="123"/>
      <c r="K16" s="123"/>
      <c r="L16" s="123"/>
      <c r="M16" s="123"/>
      <c r="N16" s="123"/>
      <c r="O16" s="123"/>
      <c r="P16" s="123"/>
    </row>
    <row r="17" spans="1:16" x14ac:dyDescent="0.25">
      <c r="C17" s="43" t="s">
        <v>237</v>
      </c>
      <c r="D17" s="141">
        <v>1</v>
      </c>
      <c r="E17" s="141">
        <v>1</v>
      </c>
      <c r="F17" s="141">
        <v>1</v>
      </c>
      <c r="G17" s="141">
        <v>1</v>
      </c>
      <c r="H17" s="141">
        <v>1</v>
      </c>
      <c r="I17" s="123"/>
      <c r="J17" s="123"/>
      <c r="K17" s="123"/>
      <c r="L17" s="123"/>
      <c r="M17" s="123"/>
      <c r="N17" s="123"/>
      <c r="O17" s="123"/>
      <c r="P17" s="123"/>
    </row>
    <row r="18" spans="1:16" ht="13.9" customHeight="1" x14ac:dyDescent="0.25">
      <c r="C18" s="43" t="s">
        <v>238</v>
      </c>
      <c r="D18" s="141">
        <v>1</v>
      </c>
      <c r="E18" s="141">
        <v>1</v>
      </c>
      <c r="F18" s="141">
        <v>1</v>
      </c>
      <c r="G18" s="141">
        <v>1</v>
      </c>
      <c r="H18" s="141">
        <v>1</v>
      </c>
      <c r="I18" s="123"/>
      <c r="J18" s="123"/>
      <c r="K18" s="123"/>
      <c r="L18" s="123"/>
      <c r="M18" s="123"/>
      <c r="N18" s="123"/>
      <c r="O18" s="123"/>
      <c r="P18" s="123"/>
    </row>
    <row r="19" spans="1:16" x14ac:dyDescent="0.25">
      <c r="B19" s="36" t="s">
        <v>17</v>
      </c>
      <c r="C19" s="43" t="s">
        <v>235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23"/>
      <c r="J19" s="123"/>
      <c r="K19" s="123"/>
      <c r="L19" s="123"/>
      <c r="M19" s="123"/>
      <c r="N19" s="123"/>
      <c r="O19" s="123"/>
      <c r="P19" s="123"/>
    </row>
    <row r="20" spans="1:16" x14ac:dyDescent="0.25">
      <c r="C20" s="43" t="s">
        <v>236</v>
      </c>
      <c r="D20" s="141">
        <v>1</v>
      </c>
      <c r="E20" s="141">
        <v>1</v>
      </c>
      <c r="F20" s="141">
        <v>1</v>
      </c>
      <c r="G20" s="141">
        <v>1</v>
      </c>
      <c r="H20" s="141">
        <v>1</v>
      </c>
      <c r="I20" s="123"/>
      <c r="J20" s="123"/>
      <c r="K20" s="123"/>
      <c r="L20" s="123"/>
      <c r="M20" s="123"/>
      <c r="N20" s="123"/>
      <c r="O20" s="123"/>
      <c r="P20" s="123"/>
    </row>
    <row r="21" spans="1:16" x14ac:dyDescent="0.25">
      <c r="C21" s="43" t="s">
        <v>237</v>
      </c>
      <c r="D21" s="141">
        <v>1</v>
      </c>
      <c r="E21" s="141">
        <v>1.86</v>
      </c>
      <c r="F21" s="141">
        <v>1.86</v>
      </c>
      <c r="G21" s="141">
        <v>1.86</v>
      </c>
      <c r="H21" s="141">
        <v>1.86</v>
      </c>
      <c r="I21" s="123"/>
      <c r="J21" s="123"/>
      <c r="K21" s="123"/>
      <c r="L21" s="123"/>
      <c r="M21" s="123"/>
      <c r="N21" s="123"/>
      <c r="O21" s="123"/>
      <c r="P21" s="123"/>
    </row>
    <row r="22" spans="1:16" x14ac:dyDescent="0.25">
      <c r="C22" s="43" t="s">
        <v>238</v>
      </c>
      <c r="D22" s="141">
        <v>1</v>
      </c>
      <c r="E22" s="141">
        <v>3.01</v>
      </c>
      <c r="F22" s="141">
        <v>3.01</v>
      </c>
      <c r="G22" s="141">
        <v>3.01</v>
      </c>
      <c r="H22" s="141">
        <v>3.01</v>
      </c>
      <c r="I22" s="123"/>
      <c r="J22" s="123"/>
      <c r="K22" s="123"/>
      <c r="L22" s="123"/>
      <c r="M22" s="123"/>
      <c r="N22" s="123"/>
      <c r="O22" s="123"/>
      <c r="P22" s="123"/>
    </row>
    <row r="23" spans="1:16" x14ac:dyDescent="0.25">
      <c r="B23" s="36" t="s">
        <v>23</v>
      </c>
      <c r="C23" s="43" t="s">
        <v>235</v>
      </c>
      <c r="D23" s="140">
        <v>1</v>
      </c>
      <c r="E23" s="140">
        <v>1</v>
      </c>
      <c r="F23" s="140">
        <v>1</v>
      </c>
      <c r="G23" s="140">
        <v>1</v>
      </c>
      <c r="H23" s="140">
        <v>1</v>
      </c>
      <c r="I23" s="123"/>
      <c r="J23" s="123"/>
      <c r="K23" s="123"/>
      <c r="L23" s="123"/>
      <c r="M23" s="123"/>
      <c r="N23" s="123"/>
      <c r="O23" s="123"/>
      <c r="P23" s="123"/>
    </row>
    <row r="24" spans="1:16" x14ac:dyDescent="0.25">
      <c r="C24" s="43" t="s">
        <v>236</v>
      </c>
      <c r="D24" s="141">
        <v>1</v>
      </c>
      <c r="E24" s="141">
        <v>1</v>
      </c>
      <c r="F24" s="141">
        <v>1</v>
      </c>
      <c r="G24" s="141">
        <v>1</v>
      </c>
      <c r="H24" s="141">
        <v>1</v>
      </c>
      <c r="I24" s="123"/>
      <c r="J24" s="123"/>
      <c r="K24" s="123"/>
      <c r="L24" s="123"/>
      <c r="M24" s="123"/>
      <c r="N24" s="123"/>
      <c r="O24" s="123"/>
      <c r="P24" s="123"/>
    </row>
    <row r="25" spans="1:16" x14ac:dyDescent="0.25">
      <c r="C25" s="43" t="s">
        <v>237</v>
      </c>
      <c r="D25" s="141">
        <v>1</v>
      </c>
      <c r="E25" s="141">
        <v>1.86</v>
      </c>
      <c r="F25" s="141">
        <v>1.86</v>
      </c>
      <c r="G25" s="141">
        <v>1.86</v>
      </c>
      <c r="H25" s="141">
        <v>1.86</v>
      </c>
      <c r="I25" s="123"/>
      <c r="J25" s="123"/>
      <c r="K25" s="123"/>
      <c r="L25" s="123"/>
      <c r="M25" s="123"/>
      <c r="N25" s="123"/>
      <c r="O25" s="123"/>
      <c r="P25" s="123"/>
    </row>
    <row r="26" spans="1:16" x14ac:dyDescent="0.25">
      <c r="C26" s="43" t="s">
        <v>238</v>
      </c>
      <c r="D26" s="141">
        <v>1</v>
      </c>
      <c r="E26" s="141">
        <v>3.01</v>
      </c>
      <c r="F26" s="141">
        <v>3.01</v>
      </c>
      <c r="G26" s="141">
        <v>3.01</v>
      </c>
      <c r="H26" s="141">
        <v>3.01</v>
      </c>
      <c r="I26" s="123"/>
      <c r="J26" s="123"/>
      <c r="K26" s="123"/>
      <c r="L26" s="123"/>
      <c r="M26" s="123"/>
      <c r="N26" s="123"/>
      <c r="O26" s="123"/>
      <c r="P26" s="123"/>
    </row>
    <row r="28" spans="1:16" s="105" customFormat="1" ht="13" x14ac:dyDescent="0.3">
      <c r="A28" s="104" t="s">
        <v>239</v>
      </c>
    </row>
    <row r="29" spans="1:16" s="36" customFormat="1" ht="13" x14ac:dyDescent="0.3">
      <c r="A29" s="126" t="s">
        <v>240</v>
      </c>
      <c r="B29" s="99" t="s">
        <v>233</v>
      </c>
      <c r="C29" s="99" t="s">
        <v>241</v>
      </c>
      <c r="D29" s="108" t="s">
        <v>1</v>
      </c>
      <c r="E29" s="108" t="s">
        <v>2</v>
      </c>
      <c r="F29" s="108" t="s">
        <v>3</v>
      </c>
      <c r="G29" s="108" t="s">
        <v>4</v>
      </c>
      <c r="H29" s="108" t="s">
        <v>5</v>
      </c>
      <c r="I29" s="125"/>
      <c r="J29" s="125"/>
      <c r="K29" s="125"/>
      <c r="L29" s="125"/>
      <c r="M29" s="125"/>
      <c r="N29" s="125"/>
      <c r="O29" s="125"/>
      <c r="P29" s="125"/>
    </row>
    <row r="30" spans="1:16" ht="13" x14ac:dyDescent="0.3">
      <c r="A30" s="40"/>
      <c r="B30" s="35" t="s">
        <v>71</v>
      </c>
      <c r="C30" s="43" t="s">
        <v>235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  <c r="I30" s="127"/>
      <c r="J30" s="123"/>
      <c r="K30" s="123"/>
      <c r="L30" s="123"/>
      <c r="M30" s="123"/>
      <c r="N30" s="123"/>
      <c r="O30" s="123"/>
      <c r="P30" s="123"/>
    </row>
    <row r="31" spans="1:16" x14ac:dyDescent="0.25">
      <c r="C31" s="43" t="s">
        <v>236</v>
      </c>
      <c r="D31" s="141">
        <v>1</v>
      </c>
      <c r="E31" s="141">
        <v>1.6</v>
      </c>
      <c r="F31" s="141">
        <v>1.6</v>
      </c>
      <c r="G31" s="141">
        <v>1.6</v>
      </c>
      <c r="H31" s="141">
        <v>1.6</v>
      </c>
      <c r="I31" s="123"/>
      <c r="J31" s="123"/>
      <c r="K31" s="123"/>
      <c r="L31" s="123"/>
      <c r="M31" s="123"/>
      <c r="N31" s="123"/>
      <c r="O31" s="123"/>
      <c r="P31" s="123"/>
    </row>
    <row r="32" spans="1:16" x14ac:dyDescent="0.25">
      <c r="C32" s="43" t="s">
        <v>65</v>
      </c>
      <c r="D32" s="141">
        <v>1</v>
      </c>
      <c r="E32" s="141">
        <v>3.41</v>
      </c>
      <c r="F32" s="141">
        <v>3.41</v>
      </c>
      <c r="G32" s="141">
        <v>3.41</v>
      </c>
      <c r="H32" s="141">
        <v>3.41</v>
      </c>
      <c r="I32" s="123"/>
      <c r="J32" s="123"/>
      <c r="K32" s="123"/>
      <c r="L32" s="123"/>
      <c r="M32" s="123"/>
      <c r="N32" s="123"/>
      <c r="O32" s="123"/>
      <c r="P32" s="123"/>
    </row>
    <row r="33" spans="2:16" x14ac:dyDescent="0.25">
      <c r="C33" s="43" t="s">
        <v>66</v>
      </c>
      <c r="D33" s="141">
        <v>1</v>
      </c>
      <c r="E33" s="141">
        <v>12.33</v>
      </c>
      <c r="F33" s="141">
        <v>12.33</v>
      </c>
      <c r="G33" s="141">
        <v>12.33</v>
      </c>
      <c r="H33" s="141">
        <v>12.33</v>
      </c>
      <c r="I33" s="123"/>
      <c r="J33" s="123"/>
      <c r="K33" s="123"/>
      <c r="L33" s="123"/>
      <c r="M33" s="123"/>
      <c r="N33" s="123"/>
      <c r="O33" s="123"/>
      <c r="P33" s="123"/>
    </row>
    <row r="34" spans="2:16" x14ac:dyDescent="0.25">
      <c r="B34" s="35" t="s">
        <v>16</v>
      </c>
      <c r="C34" s="43" t="s">
        <v>235</v>
      </c>
      <c r="D34" s="140">
        <v>1</v>
      </c>
      <c r="E34" s="140">
        <v>1</v>
      </c>
      <c r="F34" s="140">
        <v>1</v>
      </c>
      <c r="G34" s="140">
        <v>1</v>
      </c>
      <c r="H34" s="140">
        <v>1</v>
      </c>
      <c r="I34" s="123"/>
      <c r="J34" s="123"/>
      <c r="K34" s="123"/>
      <c r="L34" s="123"/>
      <c r="M34" s="123"/>
      <c r="N34" s="123"/>
      <c r="O34" s="123"/>
      <c r="P34" s="123"/>
    </row>
    <row r="35" spans="2:16" x14ac:dyDescent="0.25">
      <c r="C35" s="43" t="s">
        <v>236</v>
      </c>
      <c r="D35" s="141">
        <v>1</v>
      </c>
      <c r="E35" s="141">
        <v>1.92</v>
      </c>
      <c r="F35" s="141">
        <v>1.92</v>
      </c>
      <c r="G35" s="141">
        <v>1.92</v>
      </c>
      <c r="H35" s="141">
        <v>1.92</v>
      </c>
      <c r="I35" s="123"/>
      <c r="J35" s="123"/>
      <c r="K35" s="123"/>
      <c r="L35" s="123"/>
      <c r="M35" s="123"/>
      <c r="N35" s="123"/>
      <c r="O35" s="123"/>
      <c r="P35" s="123"/>
    </row>
    <row r="36" spans="2:16" x14ac:dyDescent="0.25">
      <c r="C36" s="43" t="s">
        <v>65</v>
      </c>
      <c r="D36" s="141">
        <v>1</v>
      </c>
      <c r="E36" s="141">
        <v>4.66</v>
      </c>
      <c r="F36" s="141">
        <v>4.66</v>
      </c>
      <c r="G36" s="141">
        <v>4.66</v>
      </c>
      <c r="H36" s="141">
        <v>4.66</v>
      </c>
      <c r="I36" s="123"/>
      <c r="J36" s="123"/>
      <c r="K36" s="123"/>
      <c r="L36" s="123"/>
      <c r="M36" s="123"/>
      <c r="N36" s="123"/>
      <c r="O36" s="123"/>
      <c r="P36" s="123"/>
    </row>
    <row r="37" spans="2:16" x14ac:dyDescent="0.25">
      <c r="C37" s="43" t="s">
        <v>66</v>
      </c>
      <c r="D37" s="141">
        <v>1</v>
      </c>
      <c r="E37" s="141">
        <v>9.68</v>
      </c>
      <c r="F37" s="141">
        <v>9.68</v>
      </c>
      <c r="G37" s="141">
        <v>9.68</v>
      </c>
      <c r="H37" s="141">
        <v>9.68</v>
      </c>
      <c r="I37" s="123"/>
      <c r="J37" s="123"/>
      <c r="K37" s="123"/>
      <c r="L37" s="123"/>
      <c r="M37" s="123"/>
      <c r="N37" s="123"/>
      <c r="O37" s="123"/>
      <c r="P37" s="123"/>
    </row>
    <row r="38" spans="2:16" x14ac:dyDescent="0.25">
      <c r="B38" s="35" t="s">
        <v>18</v>
      </c>
      <c r="C38" s="43" t="s">
        <v>235</v>
      </c>
      <c r="D38" s="140">
        <v>1</v>
      </c>
      <c r="E38" s="140">
        <v>1</v>
      </c>
      <c r="F38" s="140">
        <v>1</v>
      </c>
      <c r="G38" s="140">
        <v>1</v>
      </c>
      <c r="H38" s="140">
        <v>1</v>
      </c>
      <c r="I38" s="123"/>
      <c r="J38" s="123"/>
      <c r="K38" s="123"/>
      <c r="L38" s="123"/>
      <c r="M38" s="123"/>
      <c r="N38" s="123"/>
      <c r="O38" s="123"/>
      <c r="P38" s="123"/>
    </row>
    <row r="39" spans="2:16" x14ac:dyDescent="0.25">
      <c r="C39" s="43" t="s">
        <v>236</v>
      </c>
      <c r="D39" s="141">
        <v>1</v>
      </c>
      <c r="E39" s="141">
        <v>1</v>
      </c>
      <c r="F39" s="141">
        <v>1</v>
      </c>
      <c r="G39" s="141">
        <v>1</v>
      </c>
      <c r="H39" s="141">
        <v>1</v>
      </c>
      <c r="I39" s="123"/>
      <c r="J39" s="123"/>
      <c r="K39" s="123"/>
      <c r="L39" s="123"/>
      <c r="M39" s="123"/>
      <c r="N39" s="123"/>
      <c r="O39" s="123"/>
      <c r="P39" s="123"/>
    </row>
    <row r="40" spans="2:16" x14ac:dyDescent="0.25">
      <c r="C40" s="43" t="s">
        <v>65</v>
      </c>
      <c r="D40" s="141">
        <v>1</v>
      </c>
      <c r="E40" s="141">
        <v>2.58</v>
      </c>
      <c r="F40" s="141">
        <v>2.58</v>
      </c>
      <c r="G40" s="141">
        <v>2.58</v>
      </c>
      <c r="H40" s="141">
        <v>2.58</v>
      </c>
      <c r="I40" s="123"/>
      <c r="J40" s="123"/>
      <c r="K40" s="123"/>
      <c r="L40" s="123"/>
      <c r="M40" s="123"/>
      <c r="N40" s="123"/>
      <c r="O40" s="123"/>
      <c r="P40" s="123"/>
    </row>
    <row r="41" spans="2:16" x14ac:dyDescent="0.25">
      <c r="C41" s="43" t="s">
        <v>66</v>
      </c>
      <c r="D41" s="141">
        <v>1</v>
      </c>
      <c r="E41" s="141">
        <v>9.6300000000000008</v>
      </c>
      <c r="F41" s="141">
        <v>9.6300000000000008</v>
      </c>
      <c r="G41" s="141">
        <v>9.6300000000000008</v>
      </c>
      <c r="H41" s="141">
        <v>9.6300000000000008</v>
      </c>
      <c r="I41" s="123"/>
      <c r="J41" s="123"/>
      <c r="K41" s="123"/>
      <c r="L41" s="123"/>
      <c r="M41" s="123"/>
      <c r="N41" s="123"/>
      <c r="O41" s="123"/>
      <c r="P41" s="123"/>
    </row>
    <row r="42" spans="2:16" x14ac:dyDescent="0.25">
      <c r="B42" s="35" t="s">
        <v>19</v>
      </c>
      <c r="C42" s="43" t="s">
        <v>235</v>
      </c>
      <c r="D42" s="140">
        <v>1</v>
      </c>
      <c r="E42" s="140">
        <v>1</v>
      </c>
      <c r="F42" s="140">
        <v>1</v>
      </c>
      <c r="G42" s="140">
        <v>1</v>
      </c>
      <c r="H42" s="140">
        <v>1</v>
      </c>
      <c r="I42" s="123"/>
      <c r="J42" s="123"/>
      <c r="K42" s="123"/>
      <c r="L42" s="123"/>
      <c r="M42" s="123"/>
      <c r="N42" s="123"/>
      <c r="O42" s="123"/>
      <c r="P42" s="123"/>
    </row>
    <row r="43" spans="2:16" x14ac:dyDescent="0.25">
      <c r="C43" s="43" t="s">
        <v>236</v>
      </c>
      <c r="D43" s="141">
        <v>1</v>
      </c>
      <c r="E43" s="141">
        <v>1</v>
      </c>
      <c r="F43" s="141">
        <v>1</v>
      </c>
      <c r="G43" s="141">
        <v>1</v>
      </c>
      <c r="H43" s="141">
        <v>1</v>
      </c>
      <c r="I43" s="123"/>
      <c r="J43" s="123"/>
      <c r="K43" s="123"/>
      <c r="L43" s="123"/>
      <c r="M43" s="123"/>
      <c r="N43" s="123"/>
      <c r="O43" s="123"/>
      <c r="P43" s="123"/>
    </row>
    <row r="44" spans="2:16" x14ac:dyDescent="0.25">
      <c r="C44" s="43" t="s">
        <v>65</v>
      </c>
      <c r="D44" s="141">
        <v>1</v>
      </c>
      <c r="E44" s="141">
        <v>1</v>
      </c>
      <c r="F44" s="141">
        <v>1</v>
      </c>
      <c r="G44" s="141">
        <v>1</v>
      </c>
      <c r="H44" s="141">
        <v>1</v>
      </c>
      <c r="I44" s="123"/>
      <c r="J44" s="123"/>
      <c r="K44" s="123"/>
      <c r="L44" s="123"/>
      <c r="M44" s="123"/>
      <c r="N44" s="123"/>
      <c r="O44" s="123"/>
      <c r="P44" s="123"/>
    </row>
    <row r="45" spans="2:16" x14ac:dyDescent="0.25">
      <c r="C45" s="43" t="s">
        <v>66</v>
      </c>
      <c r="D45" s="141">
        <v>1</v>
      </c>
      <c r="E45" s="141">
        <v>1</v>
      </c>
      <c r="F45" s="141">
        <v>1</v>
      </c>
      <c r="G45" s="141">
        <v>1</v>
      </c>
      <c r="H45" s="141">
        <v>1</v>
      </c>
      <c r="I45" s="123"/>
      <c r="J45" s="123"/>
      <c r="K45" s="123"/>
      <c r="L45" s="123"/>
      <c r="M45" s="123"/>
      <c r="N45" s="123"/>
      <c r="O45" s="123"/>
      <c r="P45" s="123"/>
    </row>
    <row r="46" spans="2:16" x14ac:dyDescent="0.25">
      <c r="B46" s="35" t="s">
        <v>17</v>
      </c>
      <c r="C46" s="43" t="s">
        <v>235</v>
      </c>
      <c r="D46" s="140">
        <v>1</v>
      </c>
      <c r="E46" s="140">
        <v>1</v>
      </c>
      <c r="F46" s="140">
        <v>1</v>
      </c>
      <c r="G46" s="140">
        <v>1</v>
      </c>
      <c r="H46" s="140">
        <v>1</v>
      </c>
      <c r="I46" s="123"/>
      <c r="J46" s="123"/>
      <c r="K46" s="123"/>
      <c r="L46" s="123"/>
      <c r="M46" s="123"/>
      <c r="N46" s="123"/>
      <c r="O46" s="123"/>
      <c r="P46" s="123"/>
    </row>
    <row r="47" spans="2:16" x14ac:dyDescent="0.25">
      <c r="C47" s="43" t="s">
        <v>236</v>
      </c>
      <c r="D47" s="141">
        <v>1</v>
      </c>
      <c r="E47" s="141">
        <v>1.65</v>
      </c>
      <c r="F47" s="141">
        <v>1.65</v>
      </c>
      <c r="G47" s="141">
        <v>1.65</v>
      </c>
      <c r="H47" s="141">
        <v>1.65</v>
      </c>
      <c r="I47" s="123"/>
      <c r="J47" s="123"/>
      <c r="K47" s="123"/>
      <c r="L47" s="123"/>
      <c r="M47" s="123"/>
      <c r="N47" s="123"/>
      <c r="O47" s="123"/>
      <c r="P47" s="123"/>
    </row>
    <row r="48" spans="2:16" x14ac:dyDescent="0.25">
      <c r="C48" s="43" t="s">
        <v>65</v>
      </c>
      <c r="D48" s="141">
        <v>1</v>
      </c>
      <c r="E48" s="141">
        <v>2.73</v>
      </c>
      <c r="F48" s="141">
        <v>2.73</v>
      </c>
      <c r="G48" s="141">
        <v>2.73</v>
      </c>
      <c r="H48" s="141">
        <v>2.73</v>
      </c>
      <c r="I48" s="123"/>
      <c r="J48" s="123"/>
      <c r="K48" s="123"/>
      <c r="L48" s="123"/>
      <c r="M48" s="123"/>
      <c r="N48" s="123"/>
      <c r="O48" s="123"/>
      <c r="P48" s="123"/>
    </row>
    <row r="49" spans="1:16" x14ac:dyDescent="0.25">
      <c r="C49" s="43" t="s">
        <v>66</v>
      </c>
      <c r="D49" s="141">
        <v>1</v>
      </c>
      <c r="E49" s="141">
        <v>11.21</v>
      </c>
      <c r="F49" s="141">
        <v>11.21</v>
      </c>
      <c r="G49" s="141">
        <v>11.21</v>
      </c>
      <c r="H49" s="141">
        <v>11.21</v>
      </c>
      <c r="I49" s="123"/>
      <c r="J49" s="123"/>
      <c r="K49" s="123"/>
      <c r="L49" s="123"/>
      <c r="M49" s="123"/>
      <c r="N49" s="123"/>
      <c r="O49" s="123"/>
      <c r="P49" s="123"/>
    </row>
    <row r="50" spans="1:16" x14ac:dyDescent="0.25">
      <c r="B50" s="35" t="s">
        <v>23</v>
      </c>
      <c r="C50" s="43" t="s">
        <v>235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  <c r="I50" s="123"/>
      <c r="J50" s="123"/>
      <c r="K50" s="123"/>
      <c r="L50" s="123"/>
      <c r="M50" s="123"/>
      <c r="N50" s="123"/>
      <c r="O50" s="123"/>
      <c r="P50" s="123"/>
    </row>
    <row r="51" spans="1:16" x14ac:dyDescent="0.25">
      <c r="C51" s="43" t="s">
        <v>236</v>
      </c>
      <c r="D51" s="141">
        <v>1</v>
      </c>
      <c r="E51" s="141">
        <v>1.65</v>
      </c>
      <c r="F51" s="141">
        <v>1.65</v>
      </c>
      <c r="G51" s="141">
        <v>1.65</v>
      </c>
      <c r="H51" s="141">
        <v>1.65</v>
      </c>
      <c r="I51" s="123"/>
      <c r="J51" s="123"/>
      <c r="K51" s="123"/>
      <c r="L51" s="123"/>
      <c r="M51" s="123"/>
      <c r="N51" s="123"/>
      <c r="O51" s="123"/>
      <c r="P51" s="123"/>
    </row>
    <row r="52" spans="1:16" x14ac:dyDescent="0.25">
      <c r="C52" s="43" t="s">
        <v>65</v>
      </c>
      <c r="D52" s="141">
        <v>1</v>
      </c>
      <c r="E52" s="141">
        <v>2.73</v>
      </c>
      <c r="F52" s="141">
        <v>2.73</v>
      </c>
      <c r="G52" s="141">
        <v>2.73</v>
      </c>
      <c r="H52" s="141">
        <v>2.73</v>
      </c>
      <c r="I52" s="123"/>
      <c r="J52" s="123"/>
      <c r="K52" s="123"/>
      <c r="L52" s="123"/>
      <c r="M52" s="123"/>
      <c r="N52" s="123"/>
      <c r="O52" s="123"/>
      <c r="P52" s="123"/>
    </row>
    <row r="53" spans="1:16" x14ac:dyDescent="0.25">
      <c r="C53" s="43" t="s">
        <v>66</v>
      </c>
      <c r="D53" s="141">
        <v>1</v>
      </c>
      <c r="E53" s="141">
        <v>11.21</v>
      </c>
      <c r="F53" s="141">
        <v>11.21</v>
      </c>
      <c r="G53" s="141">
        <v>11.21</v>
      </c>
      <c r="H53" s="141">
        <v>11.21</v>
      </c>
      <c r="I53" s="123"/>
      <c r="J53" s="123"/>
      <c r="K53" s="123"/>
      <c r="L53" s="123"/>
      <c r="M53" s="123"/>
      <c r="N53" s="123"/>
      <c r="O53" s="123"/>
      <c r="P53" s="123"/>
    </row>
    <row r="54" spans="1:16" x14ac:dyDescent="0.25">
      <c r="C54" s="43"/>
      <c r="D54" s="43"/>
    </row>
    <row r="55" spans="1:16" s="105" customFormat="1" ht="13" x14ac:dyDescent="0.3">
      <c r="A55" s="104" t="s">
        <v>242</v>
      </c>
    </row>
    <row r="56" spans="1:16" s="36" customFormat="1" ht="26" x14ac:dyDescent="0.3">
      <c r="A56" s="126" t="s">
        <v>70</v>
      </c>
      <c r="B56" s="99" t="s">
        <v>233</v>
      </c>
      <c r="C56" s="128" t="s">
        <v>243</v>
      </c>
      <c r="D56" s="108" t="s">
        <v>53</v>
      </c>
      <c r="E56" s="108" t="s">
        <v>54</v>
      </c>
      <c r="F56" s="108" t="s">
        <v>55</v>
      </c>
      <c r="G56" s="108" t="s">
        <v>56</v>
      </c>
      <c r="H56" s="125"/>
      <c r="M56" s="125"/>
      <c r="N56" s="125"/>
      <c r="O56" s="125"/>
      <c r="P56" s="125"/>
    </row>
    <row r="57" spans="1:16" ht="13" x14ac:dyDescent="0.3">
      <c r="A57" s="40"/>
      <c r="B57" s="35" t="s">
        <v>38</v>
      </c>
      <c r="C57" s="43" t="s">
        <v>244</v>
      </c>
      <c r="D57" s="140">
        <v>1</v>
      </c>
      <c r="E57" s="140">
        <v>1</v>
      </c>
      <c r="F57" s="140">
        <v>1</v>
      </c>
      <c r="G57" s="140">
        <v>1</v>
      </c>
      <c r="H57" s="123"/>
      <c r="M57" s="123"/>
      <c r="N57" s="123"/>
      <c r="O57" s="123"/>
      <c r="P57" s="123"/>
    </row>
    <row r="58" spans="1:16" x14ac:dyDescent="0.25">
      <c r="C58" s="43" t="s">
        <v>245</v>
      </c>
      <c r="D58" s="141">
        <v>10.675000000000001</v>
      </c>
      <c r="E58" s="141">
        <v>10.675000000000001</v>
      </c>
      <c r="F58" s="141">
        <v>10.675000000000001</v>
      </c>
      <c r="G58" s="141">
        <v>10.675000000000001</v>
      </c>
      <c r="H58" s="123"/>
      <c r="M58" s="123"/>
      <c r="N58" s="123"/>
      <c r="O58" s="123"/>
      <c r="P58" s="123"/>
    </row>
    <row r="59" spans="1:16" x14ac:dyDescent="0.25">
      <c r="B59" s="35" t="s">
        <v>39</v>
      </c>
      <c r="C59" s="43" t="s">
        <v>244</v>
      </c>
      <c r="D59" s="140">
        <v>1</v>
      </c>
      <c r="E59" s="140">
        <v>1</v>
      </c>
      <c r="F59" s="140">
        <v>1</v>
      </c>
      <c r="G59" s="140">
        <v>1</v>
      </c>
      <c r="H59" s="123"/>
      <c r="M59" s="123"/>
      <c r="N59" s="123"/>
      <c r="O59" s="123"/>
      <c r="P59" s="123"/>
    </row>
    <row r="60" spans="1:16" x14ac:dyDescent="0.25">
      <c r="C60" s="43" t="s">
        <v>245</v>
      </c>
      <c r="D60" s="141">
        <v>10.675000000000001</v>
      </c>
      <c r="E60" s="141">
        <v>10.675000000000001</v>
      </c>
      <c r="F60" s="141">
        <v>10.675000000000001</v>
      </c>
      <c r="G60" s="141">
        <v>10.675000000000001</v>
      </c>
      <c r="H60" s="123"/>
      <c r="M60" s="123"/>
      <c r="N60" s="123"/>
      <c r="O60" s="123"/>
      <c r="P60" s="123"/>
    </row>
    <row r="61" spans="1:16" x14ac:dyDescent="0.25">
      <c r="B61" s="35" t="s">
        <v>40</v>
      </c>
      <c r="C61" s="43" t="s">
        <v>244</v>
      </c>
      <c r="D61" s="140">
        <v>1</v>
      </c>
      <c r="E61" s="140">
        <v>1</v>
      </c>
      <c r="F61" s="140">
        <v>1</v>
      </c>
      <c r="G61" s="140">
        <v>1</v>
      </c>
      <c r="H61" s="123"/>
      <c r="M61" s="123"/>
      <c r="N61" s="123"/>
      <c r="O61" s="123"/>
      <c r="P61" s="123"/>
    </row>
    <row r="62" spans="1:16" x14ac:dyDescent="0.25">
      <c r="C62" s="43" t="s">
        <v>245</v>
      </c>
      <c r="D62" s="141">
        <v>10.675000000000001</v>
      </c>
      <c r="E62" s="141">
        <v>10.675000000000001</v>
      </c>
      <c r="F62" s="141">
        <v>10.675000000000001</v>
      </c>
      <c r="G62" s="141">
        <v>10.675000000000001</v>
      </c>
      <c r="H62" s="123"/>
      <c r="M62" s="123"/>
      <c r="N62" s="123"/>
      <c r="O62" s="123"/>
      <c r="P62" s="123"/>
    </row>
    <row r="63" spans="1:16" x14ac:dyDescent="0.25">
      <c r="C63" s="43"/>
      <c r="D63" s="43"/>
    </row>
    <row r="64" spans="1:16" s="105" customFormat="1" ht="13" x14ac:dyDescent="0.3">
      <c r="A64" s="104" t="s">
        <v>246</v>
      </c>
    </row>
    <row r="65" spans="1:16" s="36" customFormat="1" ht="26" x14ac:dyDescent="0.3">
      <c r="A65" s="126" t="s">
        <v>24</v>
      </c>
      <c r="B65" s="99" t="s">
        <v>233</v>
      </c>
      <c r="C65" s="128" t="s">
        <v>247</v>
      </c>
      <c r="D65" s="108" t="s">
        <v>1</v>
      </c>
      <c r="E65" s="108" t="s">
        <v>2</v>
      </c>
      <c r="F65" s="108" t="s">
        <v>3</v>
      </c>
      <c r="G65" s="108" t="s">
        <v>4</v>
      </c>
      <c r="H65" s="129" t="s">
        <v>5</v>
      </c>
      <c r="I65" s="125"/>
      <c r="J65" s="125"/>
      <c r="K65" s="125"/>
      <c r="L65" s="125"/>
      <c r="M65" s="125"/>
      <c r="N65" s="125"/>
      <c r="O65" s="125"/>
      <c r="P65" s="125"/>
    </row>
    <row r="66" spans="1:16" ht="13" x14ac:dyDescent="0.3">
      <c r="A66" s="130"/>
      <c r="B66" s="35" t="s">
        <v>73</v>
      </c>
      <c r="C66" s="43" t="s">
        <v>166</v>
      </c>
      <c r="D66" s="140">
        <v>1</v>
      </c>
      <c r="E66" s="140">
        <v>1</v>
      </c>
      <c r="F66" s="140">
        <v>1</v>
      </c>
      <c r="G66" s="140">
        <v>1</v>
      </c>
      <c r="H66" s="123">
        <v>1</v>
      </c>
      <c r="I66" s="123"/>
      <c r="J66" s="123"/>
      <c r="K66" s="123"/>
      <c r="L66" s="123"/>
      <c r="M66" s="123"/>
      <c r="N66" s="123"/>
      <c r="O66" s="123"/>
      <c r="P66" s="123"/>
    </row>
    <row r="67" spans="1:16" x14ac:dyDescent="0.25">
      <c r="C67" s="43" t="s">
        <v>167</v>
      </c>
      <c r="D67" s="141">
        <v>1.35</v>
      </c>
      <c r="E67" s="141">
        <v>1</v>
      </c>
      <c r="F67" s="141">
        <v>1</v>
      </c>
      <c r="G67" s="141">
        <v>1</v>
      </c>
      <c r="H67" s="123">
        <v>1</v>
      </c>
      <c r="I67" s="123"/>
      <c r="J67" s="123"/>
      <c r="K67" s="123"/>
      <c r="L67" s="123"/>
      <c r="M67" s="123"/>
      <c r="N67" s="123"/>
      <c r="O67" s="123"/>
      <c r="P67" s="123"/>
    </row>
    <row r="68" spans="1:16" x14ac:dyDescent="0.25">
      <c r="C68" s="43" t="s">
        <v>168</v>
      </c>
      <c r="D68" s="141">
        <v>1.35</v>
      </c>
      <c r="E68" s="141">
        <v>1</v>
      </c>
      <c r="F68" s="141">
        <v>1</v>
      </c>
      <c r="G68" s="141">
        <v>1</v>
      </c>
      <c r="H68" s="123">
        <v>1</v>
      </c>
      <c r="I68" s="123"/>
      <c r="J68" s="123"/>
      <c r="K68" s="123"/>
      <c r="L68" s="123"/>
      <c r="M68" s="123"/>
      <c r="N68" s="123"/>
      <c r="O68" s="123"/>
      <c r="P68" s="123"/>
    </row>
    <row r="69" spans="1:16" x14ac:dyDescent="0.25">
      <c r="C69" s="43" t="s">
        <v>169</v>
      </c>
      <c r="D69" s="141">
        <v>5.4</v>
      </c>
      <c r="E69" s="141">
        <v>1</v>
      </c>
      <c r="F69" s="141">
        <v>1</v>
      </c>
      <c r="G69" s="141">
        <v>1</v>
      </c>
      <c r="H69" s="123">
        <v>1</v>
      </c>
      <c r="I69" s="123"/>
      <c r="J69" s="123"/>
      <c r="K69" s="123"/>
      <c r="L69" s="123"/>
      <c r="M69" s="123"/>
      <c r="N69" s="123"/>
      <c r="O69" s="123"/>
      <c r="P69" s="123"/>
    </row>
    <row r="70" spans="1:16" x14ac:dyDescent="0.25">
      <c r="B70" s="35" t="s">
        <v>7</v>
      </c>
      <c r="C70" s="43" t="s">
        <v>166</v>
      </c>
      <c r="D70" s="140">
        <v>1</v>
      </c>
      <c r="E70" s="140">
        <v>1</v>
      </c>
      <c r="F70" s="140">
        <v>1</v>
      </c>
      <c r="G70" s="140">
        <v>1</v>
      </c>
      <c r="H70" s="123">
        <v>1</v>
      </c>
      <c r="I70" s="123"/>
      <c r="J70" s="123"/>
      <c r="K70" s="123"/>
      <c r="L70" s="123"/>
      <c r="M70" s="123"/>
      <c r="N70" s="123"/>
      <c r="O70" s="123"/>
      <c r="P70" s="123"/>
    </row>
    <row r="71" spans="1:16" x14ac:dyDescent="0.25">
      <c r="C71" s="43" t="s">
        <v>167</v>
      </c>
      <c r="D71" s="141">
        <v>1.35</v>
      </c>
      <c r="E71" s="141">
        <v>1</v>
      </c>
      <c r="F71" s="141">
        <v>1</v>
      </c>
      <c r="G71" s="141">
        <v>1</v>
      </c>
      <c r="H71" s="123">
        <v>1</v>
      </c>
      <c r="I71" s="123"/>
      <c r="J71" s="123"/>
      <c r="K71" s="123"/>
      <c r="L71" s="123"/>
      <c r="M71" s="123"/>
      <c r="N71" s="123"/>
      <c r="O71" s="123"/>
      <c r="P71" s="123"/>
    </row>
    <row r="72" spans="1:16" x14ac:dyDescent="0.25">
      <c r="C72" s="43" t="s">
        <v>168</v>
      </c>
      <c r="D72" s="141">
        <v>1.35</v>
      </c>
      <c r="E72" s="141">
        <v>1</v>
      </c>
      <c r="F72" s="141">
        <v>1</v>
      </c>
      <c r="G72" s="141">
        <v>1</v>
      </c>
      <c r="H72" s="123">
        <v>1</v>
      </c>
      <c r="I72" s="123"/>
      <c r="J72" s="123"/>
      <c r="K72" s="123"/>
      <c r="L72" s="123"/>
      <c r="M72" s="123"/>
      <c r="N72" s="123"/>
      <c r="O72" s="123"/>
      <c r="P72" s="123"/>
    </row>
    <row r="73" spans="1:16" x14ac:dyDescent="0.25">
      <c r="C73" s="43" t="s">
        <v>169</v>
      </c>
      <c r="D73" s="141">
        <v>5.4</v>
      </c>
      <c r="E73" s="141">
        <v>1</v>
      </c>
      <c r="F73" s="141">
        <v>1</v>
      </c>
      <c r="G73" s="141">
        <v>1</v>
      </c>
      <c r="H73" s="123">
        <v>1</v>
      </c>
      <c r="I73" s="123"/>
      <c r="J73" s="123"/>
      <c r="K73" s="123"/>
      <c r="L73" s="123"/>
      <c r="M73" s="123"/>
      <c r="N73" s="123"/>
      <c r="O73" s="123"/>
      <c r="P73" s="123"/>
    </row>
    <row r="74" spans="1:16" x14ac:dyDescent="0.25">
      <c r="B74" s="35" t="s">
        <v>8</v>
      </c>
      <c r="C74" s="43" t="s">
        <v>166</v>
      </c>
      <c r="D74" s="140">
        <v>1</v>
      </c>
      <c r="E74" s="140">
        <v>1</v>
      </c>
      <c r="F74" s="140">
        <v>1</v>
      </c>
      <c r="G74" s="140">
        <v>1</v>
      </c>
      <c r="H74" s="123">
        <v>1</v>
      </c>
      <c r="I74" s="123"/>
      <c r="J74" s="123"/>
      <c r="K74" s="123"/>
      <c r="L74" s="123"/>
      <c r="M74" s="123"/>
      <c r="N74" s="123"/>
      <c r="O74" s="123"/>
      <c r="P74" s="123"/>
    </row>
    <row r="75" spans="1:16" x14ac:dyDescent="0.25">
      <c r="C75" s="43" t="s">
        <v>167</v>
      </c>
      <c r="D75" s="141">
        <v>1.35</v>
      </c>
      <c r="E75" s="141">
        <v>1</v>
      </c>
      <c r="F75" s="141">
        <v>1</v>
      </c>
      <c r="G75" s="141">
        <v>1</v>
      </c>
      <c r="H75" s="123">
        <v>1</v>
      </c>
      <c r="I75" s="123"/>
      <c r="J75" s="123"/>
      <c r="K75" s="123"/>
      <c r="L75" s="123"/>
      <c r="M75" s="123"/>
      <c r="N75" s="123"/>
      <c r="O75" s="123"/>
      <c r="P75" s="123"/>
    </row>
    <row r="76" spans="1:16" x14ac:dyDescent="0.25">
      <c r="C76" s="43" t="s">
        <v>168</v>
      </c>
      <c r="D76" s="141">
        <v>1.35</v>
      </c>
      <c r="E76" s="141">
        <v>1</v>
      </c>
      <c r="F76" s="141">
        <v>1</v>
      </c>
      <c r="G76" s="141">
        <v>1</v>
      </c>
      <c r="H76" s="123">
        <v>1</v>
      </c>
      <c r="I76" s="123"/>
      <c r="J76" s="123"/>
      <c r="K76" s="123"/>
      <c r="L76" s="123"/>
      <c r="M76" s="123"/>
      <c r="N76" s="123"/>
      <c r="O76" s="123"/>
      <c r="P76" s="123"/>
    </row>
    <row r="77" spans="1:16" x14ac:dyDescent="0.25">
      <c r="C77" s="43" t="s">
        <v>169</v>
      </c>
      <c r="D77" s="141">
        <v>5.4</v>
      </c>
      <c r="E77" s="141">
        <v>1</v>
      </c>
      <c r="F77" s="141">
        <v>1</v>
      </c>
      <c r="G77" s="141">
        <v>1</v>
      </c>
      <c r="H77" s="123">
        <v>1</v>
      </c>
      <c r="I77" s="123"/>
      <c r="J77" s="123"/>
      <c r="K77" s="123"/>
      <c r="L77" s="123"/>
      <c r="M77" s="123"/>
      <c r="N77" s="123"/>
      <c r="O77" s="123"/>
      <c r="P77" s="123"/>
    </row>
    <row r="78" spans="1:16" x14ac:dyDescent="0.25">
      <c r="B78" s="35" t="s">
        <v>13</v>
      </c>
      <c r="C78" s="43" t="s">
        <v>166</v>
      </c>
      <c r="D78" s="140">
        <v>1</v>
      </c>
      <c r="E78" s="140">
        <v>1</v>
      </c>
      <c r="F78" s="140">
        <v>1</v>
      </c>
      <c r="G78" s="140">
        <v>1</v>
      </c>
      <c r="H78" s="123">
        <v>1</v>
      </c>
      <c r="I78" s="123"/>
      <c r="J78" s="123"/>
      <c r="K78" s="123"/>
      <c r="L78" s="123"/>
      <c r="M78" s="123"/>
      <c r="N78" s="123"/>
      <c r="O78" s="123"/>
      <c r="P78" s="123"/>
    </row>
    <row r="79" spans="1:16" x14ac:dyDescent="0.25">
      <c r="C79" s="43" t="s">
        <v>167</v>
      </c>
      <c r="D79" s="141">
        <v>1</v>
      </c>
      <c r="E79" s="141">
        <v>1</v>
      </c>
      <c r="F79" s="141">
        <v>1</v>
      </c>
      <c r="G79" s="141">
        <v>1</v>
      </c>
      <c r="H79" s="123">
        <v>1</v>
      </c>
      <c r="I79" s="123"/>
      <c r="J79" s="123"/>
      <c r="K79" s="123"/>
      <c r="L79" s="123"/>
      <c r="M79" s="123"/>
      <c r="N79" s="123"/>
      <c r="O79" s="123"/>
      <c r="P79" s="123"/>
    </row>
    <row r="80" spans="1:16" x14ac:dyDescent="0.25">
      <c r="C80" s="43" t="s">
        <v>168</v>
      </c>
      <c r="D80" s="141">
        <v>1</v>
      </c>
      <c r="E80" s="141">
        <v>1</v>
      </c>
      <c r="F80" s="141">
        <v>1</v>
      </c>
      <c r="G80" s="141">
        <v>1</v>
      </c>
      <c r="H80" s="123">
        <v>1</v>
      </c>
      <c r="I80" s="123"/>
      <c r="J80" s="123"/>
      <c r="K80" s="123"/>
      <c r="L80" s="123"/>
      <c r="M80" s="123"/>
      <c r="N80" s="123"/>
      <c r="O80" s="123"/>
      <c r="P80" s="123"/>
    </row>
    <row r="81" spans="2:16" x14ac:dyDescent="0.25">
      <c r="C81" s="43" t="s">
        <v>169</v>
      </c>
      <c r="D81" s="141">
        <v>1</v>
      </c>
      <c r="E81" s="141">
        <v>1</v>
      </c>
      <c r="F81" s="141">
        <v>1</v>
      </c>
      <c r="G81" s="141">
        <v>1</v>
      </c>
      <c r="H81" s="123">
        <v>1</v>
      </c>
      <c r="I81" s="123"/>
      <c r="J81" s="123"/>
      <c r="K81" s="123"/>
      <c r="L81" s="123"/>
      <c r="M81" s="123"/>
      <c r="N81" s="123"/>
      <c r="O81" s="123"/>
      <c r="P81" s="123"/>
    </row>
    <row r="82" spans="2:16" x14ac:dyDescent="0.25">
      <c r="B82" s="35" t="s">
        <v>71</v>
      </c>
      <c r="C82" s="43" t="s">
        <v>166</v>
      </c>
      <c r="D82" s="140">
        <v>1</v>
      </c>
      <c r="E82" s="140">
        <v>1</v>
      </c>
      <c r="F82" s="140">
        <v>1</v>
      </c>
      <c r="G82" s="140">
        <v>1</v>
      </c>
      <c r="H82" s="123">
        <v>1</v>
      </c>
      <c r="I82" s="123"/>
      <c r="J82" s="123"/>
      <c r="K82" s="123"/>
      <c r="L82" s="123"/>
      <c r="M82" s="123"/>
      <c r="N82" s="123"/>
      <c r="O82" s="123"/>
      <c r="P82" s="123"/>
    </row>
    <row r="83" spans="2:16" x14ac:dyDescent="0.25">
      <c r="C83" s="43" t="s">
        <v>167</v>
      </c>
      <c r="D83" s="141">
        <v>1</v>
      </c>
      <c r="E83" s="141">
        <v>2.2799999999999998</v>
      </c>
      <c r="F83" s="141">
        <v>1</v>
      </c>
      <c r="G83" s="141">
        <v>1</v>
      </c>
      <c r="H83" s="123">
        <v>1</v>
      </c>
      <c r="I83" s="123"/>
      <c r="J83" s="123"/>
      <c r="K83" s="123"/>
      <c r="L83" s="123"/>
      <c r="M83" s="123"/>
      <c r="N83" s="123"/>
      <c r="O83" s="123"/>
      <c r="P83" s="123"/>
    </row>
    <row r="84" spans="2:16" x14ac:dyDescent="0.25">
      <c r="C84" s="43" t="s">
        <v>168</v>
      </c>
      <c r="D84" s="141">
        <v>1</v>
      </c>
      <c r="E84" s="141">
        <v>4.62</v>
      </c>
      <c r="F84" s="141">
        <v>1</v>
      </c>
      <c r="G84" s="141">
        <v>1</v>
      </c>
      <c r="H84" s="123">
        <v>1</v>
      </c>
      <c r="I84" s="123"/>
      <c r="J84" s="123"/>
      <c r="K84" s="123"/>
      <c r="L84" s="123"/>
      <c r="M84" s="123"/>
      <c r="N84" s="123"/>
      <c r="O84" s="123"/>
      <c r="P84" s="123"/>
    </row>
    <row r="85" spans="2:16" x14ac:dyDescent="0.25">
      <c r="C85" s="43" t="s">
        <v>169</v>
      </c>
      <c r="D85" s="141">
        <v>1</v>
      </c>
      <c r="E85" s="141">
        <v>10.53</v>
      </c>
      <c r="F85" s="141">
        <v>1.47</v>
      </c>
      <c r="G85" s="141">
        <v>2.57</v>
      </c>
      <c r="H85" s="123">
        <v>1</v>
      </c>
      <c r="I85" s="123"/>
      <c r="J85" s="123"/>
      <c r="K85" s="123"/>
      <c r="L85" s="123"/>
      <c r="M85" s="123"/>
      <c r="N85" s="123"/>
      <c r="O85" s="123"/>
      <c r="P85" s="123"/>
    </row>
    <row r="86" spans="2:16" x14ac:dyDescent="0.25">
      <c r="B86" s="35" t="s">
        <v>16</v>
      </c>
      <c r="C86" s="43" t="s">
        <v>166</v>
      </c>
      <c r="D86" s="140">
        <v>1</v>
      </c>
      <c r="E86" s="140">
        <v>1</v>
      </c>
      <c r="F86" s="140">
        <v>1</v>
      </c>
      <c r="G86" s="140">
        <v>1</v>
      </c>
      <c r="H86" s="123">
        <v>1</v>
      </c>
      <c r="I86" s="123"/>
      <c r="J86" s="123"/>
      <c r="K86" s="123"/>
      <c r="L86" s="123"/>
      <c r="M86" s="123"/>
      <c r="N86" s="123"/>
      <c r="O86" s="123"/>
      <c r="P86" s="123"/>
    </row>
    <row r="87" spans="2:16" x14ac:dyDescent="0.25">
      <c r="C87" s="43" t="s">
        <v>167</v>
      </c>
      <c r="D87" s="141">
        <v>1</v>
      </c>
      <c r="E87" s="141">
        <v>1.66</v>
      </c>
      <c r="F87" s="141">
        <v>1</v>
      </c>
      <c r="G87" s="141">
        <v>1</v>
      </c>
      <c r="H87" s="123">
        <v>1</v>
      </c>
      <c r="I87" s="123"/>
      <c r="J87" s="123"/>
      <c r="K87" s="123"/>
      <c r="L87" s="123"/>
      <c r="M87" s="123"/>
      <c r="N87" s="123"/>
      <c r="O87" s="123"/>
      <c r="P87" s="123"/>
    </row>
    <row r="88" spans="2:16" x14ac:dyDescent="0.25">
      <c r="C88" s="43" t="s">
        <v>168</v>
      </c>
      <c r="D88" s="141">
        <v>1</v>
      </c>
      <c r="E88" s="141">
        <v>2.5</v>
      </c>
      <c r="F88" s="141">
        <v>1</v>
      </c>
      <c r="G88" s="141">
        <v>1</v>
      </c>
      <c r="H88" s="123">
        <v>1</v>
      </c>
      <c r="I88" s="123"/>
      <c r="J88" s="123"/>
      <c r="K88" s="123"/>
      <c r="L88" s="123"/>
      <c r="M88" s="123"/>
      <c r="N88" s="123"/>
      <c r="O88" s="123"/>
      <c r="P88" s="123"/>
    </row>
    <row r="89" spans="2:16" x14ac:dyDescent="0.25">
      <c r="C89" s="43" t="s">
        <v>169</v>
      </c>
      <c r="D89" s="141">
        <v>1</v>
      </c>
      <c r="E89" s="141">
        <v>14.97</v>
      </c>
      <c r="F89" s="141">
        <v>1.92</v>
      </c>
      <c r="G89" s="141">
        <v>1.92</v>
      </c>
      <c r="H89" s="123">
        <v>1</v>
      </c>
      <c r="I89" s="123"/>
      <c r="J89" s="123"/>
      <c r="K89" s="123"/>
      <c r="L89" s="123"/>
      <c r="M89" s="123"/>
      <c r="N89" s="123"/>
      <c r="O89" s="123"/>
      <c r="P89" s="123"/>
    </row>
    <row r="90" spans="2:16" x14ac:dyDescent="0.25">
      <c r="B90" s="35" t="s">
        <v>18</v>
      </c>
      <c r="C90" s="43" t="s">
        <v>166</v>
      </c>
      <c r="D90" s="140">
        <v>1</v>
      </c>
      <c r="E90" s="140">
        <v>1</v>
      </c>
      <c r="F90" s="140">
        <v>1</v>
      </c>
      <c r="G90" s="140">
        <v>1</v>
      </c>
      <c r="H90" s="123">
        <v>1</v>
      </c>
      <c r="I90" s="123"/>
      <c r="J90" s="123"/>
      <c r="K90" s="123"/>
      <c r="L90" s="123"/>
      <c r="M90" s="123"/>
      <c r="N90" s="123"/>
      <c r="O90" s="123"/>
      <c r="P90" s="123"/>
    </row>
    <row r="91" spans="2:16" x14ac:dyDescent="0.25">
      <c r="C91" s="43" t="s">
        <v>167</v>
      </c>
      <c r="D91" s="141">
        <v>1</v>
      </c>
      <c r="E91" s="141">
        <v>1.48</v>
      </c>
      <c r="F91" s="141">
        <v>1</v>
      </c>
      <c r="G91" s="141">
        <v>1</v>
      </c>
      <c r="H91" s="123">
        <v>1</v>
      </c>
      <c r="I91" s="123"/>
      <c r="J91" s="123"/>
      <c r="K91" s="123"/>
      <c r="L91" s="123"/>
      <c r="M91" s="123"/>
      <c r="N91" s="123"/>
      <c r="O91" s="123"/>
      <c r="P91" s="123"/>
    </row>
    <row r="92" spans="2:16" x14ac:dyDescent="0.25">
      <c r="C92" s="43" t="s">
        <v>168</v>
      </c>
      <c r="D92" s="141">
        <v>1</v>
      </c>
      <c r="E92" s="141">
        <v>2.84</v>
      </c>
      <c r="F92" s="141">
        <v>1</v>
      </c>
      <c r="G92" s="141">
        <v>1</v>
      </c>
      <c r="H92" s="123">
        <v>1</v>
      </c>
      <c r="I92" s="123"/>
      <c r="J92" s="123"/>
      <c r="K92" s="123"/>
      <c r="L92" s="123"/>
      <c r="M92" s="123"/>
      <c r="N92" s="123"/>
      <c r="O92" s="123"/>
      <c r="P92" s="123"/>
    </row>
    <row r="93" spans="2:16" x14ac:dyDescent="0.25">
      <c r="C93" s="43" t="s">
        <v>169</v>
      </c>
      <c r="D93" s="141">
        <v>1</v>
      </c>
      <c r="E93" s="141">
        <v>14.4</v>
      </c>
      <c r="F93" s="141">
        <v>3.69</v>
      </c>
      <c r="G93" s="141">
        <v>3.69</v>
      </c>
      <c r="H93" s="123">
        <v>1</v>
      </c>
      <c r="I93" s="123"/>
      <c r="J93" s="123"/>
      <c r="K93" s="123"/>
      <c r="L93" s="123"/>
      <c r="M93" s="123"/>
      <c r="N93" s="123"/>
      <c r="O93" s="123"/>
      <c r="P93" s="123"/>
    </row>
    <row r="94" spans="2:16" x14ac:dyDescent="0.25">
      <c r="B94" s="35" t="s">
        <v>17</v>
      </c>
      <c r="C94" s="43" t="s">
        <v>166</v>
      </c>
      <c r="D94" s="140">
        <v>1</v>
      </c>
      <c r="E94" s="140">
        <v>1</v>
      </c>
      <c r="F94" s="140">
        <v>1</v>
      </c>
      <c r="G94" s="140">
        <v>1</v>
      </c>
      <c r="H94" s="123">
        <v>1</v>
      </c>
      <c r="I94" s="123"/>
      <c r="J94" s="123"/>
      <c r="K94" s="123"/>
      <c r="L94" s="123"/>
      <c r="M94" s="123"/>
      <c r="N94" s="123"/>
      <c r="O94" s="123"/>
      <c r="P94" s="123"/>
    </row>
    <row r="95" spans="2:16" x14ac:dyDescent="0.25">
      <c r="C95" s="43" t="s">
        <v>167</v>
      </c>
      <c r="D95" s="141">
        <v>1</v>
      </c>
      <c r="E95" s="141">
        <v>1.48</v>
      </c>
      <c r="F95" s="141">
        <v>1</v>
      </c>
      <c r="G95" s="141">
        <v>1</v>
      </c>
      <c r="H95" s="123">
        <v>1</v>
      </c>
      <c r="I95" s="123"/>
      <c r="J95" s="123"/>
      <c r="K95" s="123"/>
      <c r="L95" s="123"/>
      <c r="M95" s="123"/>
      <c r="N95" s="123"/>
      <c r="O95" s="123"/>
      <c r="P95" s="123"/>
    </row>
    <row r="96" spans="2:16" x14ac:dyDescent="0.25">
      <c r="C96" s="43" t="s">
        <v>168</v>
      </c>
      <c r="D96" s="141">
        <v>1</v>
      </c>
      <c r="E96" s="141">
        <v>2.84</v>
      </c>
      <c r="F96" s="141">
        <v>1</v>
      </c>
      <c r="G96" s="141">
        <v>1</v>
      </c>
      <c r="H96" s="123">
        <v>1</v>
      </c>
      <c r="I96" s="123"/>
      <c r="J96" s="123"/>
      <c r="K96" s="123"/>
      <c r="L96" s="123"/>
      <c r="M96" s="123"/>
      <c r="N96" s="123"/>
      <c r="O96" s="123"/>
      <c r="P96" s="123"/>
    </row>
    <row r="97" spans="1:16" x14ac:dyDescent="0.25">
      <c r="C97" s="43" t="s">
        <v>169</v>
      </c>
      <c r="D97" s="141">
        <v>1</v>
      </c>
      <c r="E97" s="141">
        <v>14.4</v>
      </c>
      <c r="F97" s="141">
        <v>3.69</v>
      </c>
      <c r="G97" s="141">
        <v>3.69</v>
      </c>
      <c r="H97" s="123">
        <v>1</v>
      </c>
      <c r="I97" s="123"/>
      <c r="J97" s="123"/>
      <c r="K97" s="123"/>
      <c r="L97" s="123"/>
      <c r="M97" s="123"/>
      <c r="N97" s="123"/>
      <c r="O97" s="123"/>
      <c r="P97" s="123"/>
    </row>
    <row r="98" spans="1:16" x14ac:dyDescent="0.25">
      <c r="B98" s="35" t="s">
        <v>20</v>
      </c>
      <c r="C98" s="43" t="s">
        <v>166</v>
      </c>
      <c r="D98" s="140">
        <v>1</v>
      </c>
      <c r="E98" s="140">
        <v>1</v>
      </c>
      <c r="F98" s="140">
        <v>1</v>
      </c>
      <c r="G98" s="140">
        <v>1</v>
      </c>
      <c r="H98" s="123">
        <v>1</v>
      </c>
      <c r="I98" s="123"/>
      <c r="J98" s="123"/>
      <c r="K98" s="123"/>
      <c r="L98" s="123"/>
      <c r="M98" s="123"/>
      <c r="N98" s="123"/>
      <c r="O98" s="123"/>
      <c r="P98" s="123"/>
    </row>
    <row r="99" spans="1:16" x14ac:dyDescent="0.25">
      <c r="C99" s="43" t="s">
        <v>167</v>
      </c>
      <c r="D99" s="141">
        <v>1</v>
      </c>
      <c r="E99" s="141">
        <v>1.48</v>
      </c>
      <c r="F99" s="141">
        <v>1</v>
      </c>
      <c r="G99" s="141">
        <v>1</v>
      </c>
      <c r="H99" s="123">
        <v>1</v>
      </c>
      <c r="I99" s="123"/>
      <c r="J99" s="123"/>
      <c r="K99" s="123"/>
      <c r="L99" s="123"/>
      <c r="M99" s="123"/>
      <c r="N99" s="123"/>
      <c r="O99" s="123"/>
      <c r="P99" s="123"/>
    </row>
    <row r="100" spans="1:16" x14ac:dyDescent="0.25">
      <c r="C100" s="43" t="s">
        <v>168</v>
      </c>
      <c r="D100" s="141">
        <v>1</v>
      </c>
      <c r="E100" s="141">
        <v>2.84</v>
      </c>
      <c r="F100" s="141">
        <v>1</v>
      </c>
      <c r="G100" s="141">
        <v>1</v>
      </c>
      <c r="H100" s="123">
        <v>1</v>
      </c>
      <c r="I100" s="123"/>
      <c r="J100" s="123"/>
      <c r="K100" s="123"/>
      <c r="L100" s="123"/>
      <c r="M100" s="123"/>
      <c r="N100" s="123"/>
      <c r="O100" s="123"/>
      <c r="P100" s="123"/>
    </row>
    <row r="101" spans="1:16" x14ac:dyDescent="0.25">
      <c r="C101" s="43" t="s">
        <v>169</v>
      </c>
      <c r="D101" s="141">
        <v>1</v>
      </c>
      <c r="E101" s="141">
        <v>14.4</v>
      </c>
      <c r="F101" s="141">
        <v>3.69</v>
      </c>
      <c r="G101" s="141">
        <v>3.69</v>
      </c>
      <c r="H101" s="123">
        <v>1</v>
      </c>
      <c r="I101" s="123"/>
      <c r="J101" s="123"/>
      <c r="K101" s="123"/>
      <c r="L101" s="123"/>
      <c r="M101" s="123"/>
      <c r="N101" s="123"/>
      <c r="O101" s="123"/>
      <c r="P101" s="123"/>
    </row>
    <row r="103" spans="1:16" s="105" customFormat="1" ht="13" x14ac:dyDescent="0.3">
      <c r="A103" s="104" t="s">
        <v>248</v>
      </c>
    </row>
    <row r="104" spans="1:16" s="36" customFormat="1" ht="26" x14ac:dyDescent="0.3">
      <c r="A104" s="126" t="s">
        <v>71</v>
      </c>
      <c r="B104" s="131" t="s">
        <v>169</v>
      </c>
      <c r="C104" s="128" t="s">
        <v>247</v>
      </c>
      <c r="D104" s="108" t="s">
        <v>1</v>
      </c>
      <c r="E104" s="108" t="s">
        <v>2</v>
      </c>
      <c r="F104" s="108" t="s">
        <v>3</v>
      </c>
      <c r="G104" s="108" t="s">
        <v>4</v>
      </c>
      <c r="H104" s="129" t="s">
        <v>5</v>
      </c>
      <c r="I104" s="125"/>
      <c r="J104" s="125"/>
      <c r="K104" s="125"/>
      <c r="L104" s="125"/>
      <c r="M104" s="125"/>
      <c r="N104" s="125"/>
      <c r="O104" s="125"/>
      <c r="P104" s="125"/>
    </row>
    <row r="105" spans="1:16" ht="13" x14ac:dyDescent="0.3">
      <c r="A105" s="40"/>
      <c r="B105" s="36"/>
      <c r="C105" s="43" t="s">
        <v>166</v>
      </c>
      <c r="D105" s="140">
        <v>1</v>
      </c>
      <c r="E105" s="140">
        <v>1</v>
      </c>
      <c r="F105" s="140">
        <v>1</v>
      </c>
      <c r="G105" s="140">
        <v>1</v>
      </c>
      <c r="H105" s="123">
        <v>1</v>
      </c>
      <c r="I105" s="123"/>
      <c r="J105" s="123"/>
      <c r="K105" s="123"/>
      <c r="L105" s="123"/>
      <c r="M105" s="123"/>
      <c r="N105" s="123"/>
      <c r="O105" s="123"/>
      <c r="P105" s="123"/>
    </row>
    <row r="106" spans="1:16" x14ac:dyDescent="0.25">
      <c r="C106" s="43" t="s">
        <v>167</v>
      </c>
      <c r="D106" s="141">
        <v>1.26</v>
      </c>
      <c r="E106" s="141">
        <v>1.26</v>
      </c>
      <c r="F106" s="141">
        <v>1</v>
      </c>
      <c r="G106" s="141">
        <v>1</v>
      </c>
      <c r="H106" s="123">
        <v>1</v>
      </c>
      <c r="I106" s="123"/>
      <c r="J106" s="123"/>
      <c r="K106" s="123"/>
      <c r="L106" s="123"/>
      <c r="M106" s="123"/>
      <c r="N106" s="123"/>
      <c r="O106" s="123"/>
      <c r="P106" s="123"/>
    </row>
    <row r="107" spans="1:16" x14ac:dyDescent="0.25">
      <c r="C107" s="43" t="s">
        <v>168</v>
      </c>
      <c r="D107" s="141">
        <v>1.68</v>
      </c>
      <c r="E107" s="141">
        <v>1.68</v>
      </c>
      <c r="F107" s="141">
        <v>1</v>
      </c>
      <c r="G107" s="141">
        <v>1</v>
      </c>
      <c r="H107" s="123">
        <v>1</v>
      </c>
      <c r="I107" s="123"/>
      <c r="J107" s="123"/>
      <c r="K107" s="123"/>
      <c r="L107" s="123"/>
      <c r="M107" s="123"/>
      <c r="N107" s="123"/>
      <c r="O107" s="123"/>
      <c r="P107" s="123"/>
    </row>
    <row r="108" spans="1:16" x14ac:dyDescent="0.25">
      <c r="C108" s="43" t="s">
        <v>169</v>
      </c>
      <c r="D108" s="141">
        <v>2.65</v>
      </c>
      <c r="E108" s="141">
        <v>2.65</v>
      </c>
      <c r="F108" s="141">
        <v>2.0699999999999998</v>
      </c>
      <c r="G108" s="141">
        <v>2.0699999999999998</v>
      </c>
      <c r="H108" s="123">
        <v>1</v>
      </c>
      <c r="I108" s="123"/>
      <c r="J108" s="123"/>
      <c r="K108" s="123"/>
      <c r="L108" s="123"/>
      <c r="M108" s="123"/>
      <c r="N108" s="123"/>
      <c r="O108" s="123"/>
      <c r="P108" s="123"/>
    </row>
    <row r="111" spans="1:16" ht="13" x14ac:dyDescent="0.3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D3" sqref="D3"/>
    </sheetView>
  </sheetViews>
  <sheetFormatPr defaultColWidth="12.7265625" defaultRowHeight="12.5" x14ac:dyDescent="0.25"/>
  <cols>
    <col min="1" max="1" width="25.7265625" style="35" customWidth="1"/>
    <col min="2" max="2" width="44.453125" style="35" customWidth="1"/>
    <col min="3" max="3" width="17.7265625" style="35" customWidth="1"/>
    <col min="4" max="4" width="17.54296875" style="35" customWidth="1"/>
    <col min="5" max="5" width="17.26953125" style="35" customWidth="1"/>
    <col min="6" max="6" width="15" style="35" customWidth="1"/>
    <col min="7" max="7" width="13.7265625" style="35" customWidth="1"/>
    <col min="8" max="16384" width="12.7265625" style="35"/>
  </cols>
  <sheetData>
    <row r="1" spans="1:7" s="105" customFormat="1" ht="14.25" customHeight="1" x14ac:dyDescent="0.3">
      <c r="A1" s="104" t="s">
        <v>249</v>
      </c>
    </row>
    <row r="2" spans="1:7" ht="14.25" customHeight="1" x14ac:dyDescent="0.3">
      <c r="A2" s="130" t="s">
        <v>25</v>
      </c>
      <c r="B2" s="124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8" t="s">
        <v>250</v>
      </c>
      <c r="C3" s="141" t="s">
        <v>251</v>
      </c>
      <c r="D3" s="141">
        <v>45</v>
      </c>
      <c r="E3" s="141">
        <v>361.6</v>
      </c>
      <c r="F3" s="141">
        <v>174.7</v>
      </c>
      <c r="G3" s="141">
        <v>174.7</v>
      </c>
    </row>
    <row r="4" spans="1:7" ht="14.25" customHeight="1" x14ac:dyDescent="0.3">
      <c r="A4" s="40"/>
      <c r="B4" s="122" t="s">
        <v>252</v>
      </c>
      <c r="C4" s="141">
        <v>1.0249999999999999</v>
      </c>
      <c r="D4" s="141">
        <v>1.0249999999999999</v>
      </c>
      <c r="E4" s="141">
        <v>1.0249999999999999</v>
      </c>
      <c r="F4" s="141">
        <v>1.0249999999999999</v>
      </c>
      <c r="G4" s="141">
        <v>1.0249999999999999</v>
      </c>
    </row>
    <row r="5" spans="1:7" ht="14.25" customHeight="1" x14ac:dyDescent="0.3">
      <c r="A5" s="109" t="s">
        <v>253</v>
      </c>
    </row>
    <row r="6" spans="1:7" ht="14.25" customHeight="1" x14ac:dyDescent="0.25">
      <c r="B6" s="122" t="s">
        <v>58</v>
      </c>
      <c r="C6" s="141">
        <v>1</v>
      </c>
      <c r="D6" s="141">
        <v>1</v>
      </c>
      <c r="E6" s="141">
        <v>0.89</v>
      </c>
      <c r="F6" s="141">
        <v>0.89</v>
      </c>
      <c r="G6" s="141">
        <v>1</v>
      </c>
    </row>
    <row r="7" spans="1:7" ht="14.25" customHeight="1" x14ac:dyDescent="0.25">
      <c r="B7" s="122" t="s">
        <v>136</v>
      </c>
      <c r="C7" s="141">
        <v>1</v>
      </c>
      <c r="D7" s="141">
        <v>1</v>
      </c>
      <c r="E7" s="141">
        <v>0.89</v>
      </c>
      <c r="F7" s="141">
        <v>0.89</v>
      </c>
      <c r="G7" s="141">
        <v>1</v>
      </c>
    </row>
    <row r="8" spans="1:7" ht="14.25" customHeight="1" x14ac:dyDescent="0.25">
      <c r="B8" s="122" t="s">
        <v>60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</row>
    <row r="9" spans="1:7" ht="14.25" customHeight="1" x14ac:dyDescent="0.25">
      <c r="B9" s="122"/>
      <c r="C9" s="122"/>
      <c r="D9" s="122"/>
      <c r="E9" s="122"/>
      <c r="F9" s="122"/>
      <c r="G9" s="122"/>
    </row>
    <row r="10" spans="1:7" s="105" customFormat="1" ht="14.25" customHeight="1" x14ac:dyDescent="0.3">
      <c r="A10" s="104" t="s">
        <v>254</v>
      </c>
    </row>
    <row r="11" spans="1:7" ht="14.25" customHeight="1" x14ac:dyDescent="0.3">
      <c r="A11" s="109"/>
      <c r="B11" s="118" t="s">
        <v>196</v>
      </c>
      <c r="C11" s="141">
        <v>1.5</v>
      </c>
      <c r="D11" s="141">
        <v>1.39</v>
      </c>
      <c r="E11" s="141">
        <v>1</v>
      </c>
      <c r="F11" s="141">
        <v>1</v>
      </c>
      <c r="G11" s="141">
        <v>1</v>
      </c>
    </row>
    <row r="12" spans="1:7" ht="14.25" customHeight="1" x14ac:dyDescent="0.3">
      <c r="A12" s="109"/>
      <c r="B12" s="118"/>
    </row>
    <row r="13" spans="1:7" s="105" customFormat="1" ht="14.25" customHeight="1" x14ac:dyDescent="0.3">
      <c r="A13" s="104" t="s">
        <v>255</v>
      </c>
    </row>
    <row r="14" spans="1:7" ht="14.25" customHeight="1" x14ac:dyDescent="0.3">
      <c r="A14" s="130" t="s">
        <v>240</v>
      </c>
      <c r="B14" s="122" t="s">
        <v>256</v>
      </c>
      <c r="C14" s="141">
        <v>1.0249999999999999</v>
      </c>
      <c r="D14" s="141">
        <v>1.0249999999999999</v>
      </c>
      <c r="E14" s="141">
        <v>1.0249999999999999</v>
      </c>
      <c r="F14" s="141">
        <v>1.0249999999999999</v>
      </c>
      <c r="G14" s="141">
        <v>1.0249999999999999</v>
      </c>
    </row>
    <row r="15" spans="1:7" ht="14.25" customHeight="1" x14ac:dyDescent="0.3">
      <c r="A15" s="40"/>
      <c r="B15" s="122" t="s">
        <v>257</v>
      </c>
      <c r="C15" s="141">
        <v>1.0249999999999999</v>
      </c>
      <c r="D15" s="141">
        <v>1.0249999999999999</v>
      </c>
      <c r="E15" s="141">
        <v>1.0249999999999999</v>
      </c>
      <c r="F15" s="141">
        <v>1.0249999999999999</v>
      </c>
      <c r="G15" s="141">
        <v>1.0249999999999999</v>
      </c>
    </row>
    <row r="16" spans="1:7" ht="14.25" customHeight="1" x14ac:dyDescent="0.3">
      <c r="A16" s="130" t="s">
        <v>70</v>
      </c>
      <c r="B16" s="118" t="s">
        <v>258</v>
      </c>
      <c r="C16" s="141">
        <v>1</v>
      </c>
      <c r="D16" s="141">
        <v>1</v>
      </c>
      <c r="E16" s="141">
        <v>1</v>
      </c>
      <c r="F16" s="141">
        <v>1</v>
      </c>
      <c r="G16" s="141">
        <v>1</v>
      </c>
    </row>
    <row r="17" spans="1:6" ht="14.25" customHeight="1" x14ac:dyDescent="0.25"/>
    <row r="18" spans="1:6" s="105" customFormat="1" ht="14.25" customHeight="1" x14ac:dyDescent="0.3">
      <c r="A18" s="104" t="s">
        <v>259</v>
      </c>
    </row>
    <row r="19" spans="1:6" s="109" customFormat="1" ht="14.25" customHeight="1" x14ac:dyDescent="0.3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8" t="s">
        <v>198</v>
      </c>
      <c r="C20" s="141">
        <v>1.52</v>
      </c>
      <c r="D20" s="141">
        <v>1</v>
      </c>
      <c r="E20" s="141">
        <v>1</v>
      </c>
      <c r="F20" s="14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E6" sqref="C6:E6"/>
    </sheetView>
  </sheetViews>
  <sheetFormatPr defaultColWidth="16.1796875" defaultRowHeight="15.75" customHeight="1" x14ac:dyDescent="0.25"/>
  <cols>
    <col min="1" max="1" width="52.26953125" style="35" customWidth="1"/>
    <col min="2" max="6" width="16.1796875" style="35"/>
    <col min="7" max="7" width="17.26953125" style="35" customWidth="1"/>
    <col min="8" max="8" width="16.1796875" style="35" customWidth="1"/>
    <col min="9" max="16384" width="16.1796875" style="35"/>
  </cols>
  <sheetData>
    <row r="1" spans="1:6" ht="15.75" customHeight="1" x14ac:dyDescent="0.3">
      <c r="A1" s="124" t="s">
        <v>69</v>
      </c>
      <c r="B1" s="40"/>
      <c r="C1" s="40" t="s">
        <v>9</v>
      </c>
      <c r="D1" s="40" t="s">
        <v>12</v>
      </c>
      <c r="E1" s="40" t="s">
        <v>11</v>
      </c>
      <c r="F1" s="124" t="s">
        <v>26</v>
      </c>
    </row>
    <row r="2" spans="1:6" ht="15.75" customHeight="1" x14ac:dyDescent="0.25">
      <c r="A2" s="95" t="s">
        <v>29</v>
      </c>
      <c r="B2" s="95" t="s">
        <v>260</v>
      </c>
      <c r="C2" s="141">
        <v>0.21</v>
      </c>
      <c r="D2" s="141">
        <v>0.21</v>
      </c>
      <c r="E2" s="141">
        <v>0</v>
      </c>
      <c r="F2" s="141">
        <v>0</v>
      </c>
    </row>
    <row r="3" spans="1:6" ht="15.75" customHeight="1" x14ac:dyDescent="0.25">
      <c r="A3" s="95"/>
      <c r="B3" s="95" t="s">
        <v>261</v>
      </c>
      <c r="C3" s="141">
        <v>1</v>
      </c>
      <c r="D3" s="141">
        <v>1</v>
      </c>
      <c r="E3" s="141">
        <v>1</v>
      </c>
      <c r="F3" s="141">
        <v>1</v>
      </c>
    </row>
    <row r="4" spans="1:6" ht="15.75" customHeight="1" x14ac:dyDescent="0.25">
      <c r="A4" s="95" t="s">
        <v>187</v>
      </c>
      <c r="B4" s="95" t="s">
        <v>260</v>
      </c>
      <c r="C4" s="141">
        <v>0</v>
      </c>
      <c r="D4" s="141">
        <v>0</v>
      </c>
      <c r="E4" s="141">
        <v>0</v>
      </c>
      <c r="F4" s="141">
        <v>0</v>
      </c>
    </row>
    <row r="5" spans="1:6" ht="15.75" customHeight="1" x14ac:dyDescent="0.25">
      <c r="A5" s="95"/>
      <c r="B5" s="95" t="s">
        <v>261</v>
      </c>
      <c r="C5" s="141">
        <v>1</v>
      </c>
      <c r="D5" s="141">
        <v>1</v>
      </c>
      <c r="E5" s="141">
        <v>1</v>
      </c>
      <c r="F5" s="141">
        <v>1</v>
      </c>
    </row>
    <row r="6" spans="1:6" ht="15.75" customHeight="1" x14ac:dyDescent="0.25">
      <c r="A6" s="95" t="s">
        <v>209</v>
      </c>
      <c r="B6" s="95" t="s">
        <v>260</v>
      </c>
      <c r="C6" s="141">
        <v>0</v>
      </c>
      <c r="D6" s="141">
        <v>0</v>
      </c>
      <c r="E6" s="141">
        <v>0</v>
      </c>
      <c r="F6" s="141">
        <v>0</v>
      </c>
    </row>
    <row r="7" spans="1:6" ht="15.75" customHeight="1" x14ac:dyDescent="0.25">
      <c r="A7" s="95"/>
      <c r="B7" s="95" t="s">
        <v>261</v>
      </c>
      <c r="C7" s="141">
        <v>1</v>
      </c>
      <c r="D7" s="141">
        <v>1</v>
      </c>
      <c r="E7" s="141">
        <v>1</v>
      </c>
      <c r="F7" s="141">
        <v>1</v>
      </c>
    </row>
    <row r="8" spans="1:6" ht="15.75" customHeight="1" x14ac:dyDescent="0.25">
      <c r="A8" s="95" t="s">
        <v>57</v>
      </c>
      <c r="B8" s="95" t="s">
        <v>260</v>
      </c>
      <c r="C8" s="141">
        <v>0.35</v>
      </c>
      <c r="D8" s="141">
        <v>0.35</v>
      </c>
      <c r="E8" s="141">
        <v>0</v>
      </c>
      <c r="F8" s="141">
        <v>0</v>
      </c>
    </row>
    <row r="9" spans="1:6" ht="15.75" customHeight="1" x14ac:dyDescent="0.25">
      <c r="A9" s="95"/>
      <c r="B9" s="95" t="s">
        <v>261</v>
      </c>
      <c r="C9" s="141">
        <v>1</v>
      </c>
      <c r="D9" s="141">
        <v>1</v>
      </c>
      <c r="E9" s="141">
        <v>0</v>
      </c>
      <c r="F9" s="141">
        <v>0</v>
      </c>
    </row>
    <row r="10" spans="1:6" ht="15.75" customHeight="1" x14ac:dyDescent="0.25">
      <c r="A10" s="95" t="s">
        <v>34</v>
      </c>
      <c r="B10" s="95" t="s">
        <v>260</v>
      </c>
      <c r="C10" s="141">
        <v>0.35</v>
      </c>
      <c r="D10" s="141">
        <v>0.35</v>
      </c>
      <c r="E10" s="141">
        <v>0</v>
      </c>
      <c r="F10" s="141">
        <v>0</v>
      </c>
    </row>
    <row r="11" spans="1:6" ht="15.75" customHeight="1" x14ac:dyDescent="0.25">
      <c r="A11" s="95"/>
      <c r="B11" s="95" t="s">
        <v>261</v>
      </c>
      <c r="C11" s="141">
        <v>1</v>
      </c>
      <c r="D11" s="141">
        <v>1</v>
      </c>
      <c r="E11" s="141">
        <v>0</v>
      </c>
      <c r="F11" s="141">
        <v>0</v>
      </c>
    </row>
    <row r="12" spans="1:6" ht="15.75" customHeight="1" x14ac:dyDescent="0.25">
      <c r="A12" s="95" t="s">
        <v>59</v>
      </c>
      <c r="B12" s="95" t="s">
        <v>260</v>
      </c>
      <c r="C12" s="141">
        <v>0.08</v>
      </c>
      <c r="D12" s="141">
        <v>0.08</v>
      </c>
      <c r="E12" s="141">
        <v>0</v>
      </c>
      <c r="F12" s="141">
        <v>0</v>
      </c>
    </row>
    <row r="13" spans="1:6" ht="15.75" customHeight="1" x14ac:dyDescent="0.25">
      <c r="A13" s="95"/>
      <c r="B13" s="95" t="s">
        <v>261</v>
      </c>
      <c r="C13" s="141">
        <v>1</v>
      </c>
      <c r="D13" s="141">
        <v>1</v>
      </c>
      <c r="E13" s="141">
        <v>1</v>
      </c>
      <c r="F13" s="141">
        <v>1</v>
      </c>
    </row>
    <row r="19" spans="1:1" ht="15.75" customHeight="1" x14ac:dyDescent="0.25">
      <c r="A19" s="95"/>
    </row>
    <row r="20" spans="1:1" ht="15.75" customHeight="1" x14ac:dyDescent="0.25">
      <c r="A20" s="95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H1" workbookViewId="0">
      <selection activeCell="E19" sqref="E19:O20"/>
    </sheetView>
  </sheetViews>
  <sheetFormatPr defaultColWidth="12.7265625" defaultRowHeight="12.5" x14ac:dyDescent="0.25"/>
  <cols>
    <col min="1" max="1" width="22.54296875" style="35" customWidth="1"/>
    <col min="2" max="2" width="58.81640625" style="35" bestFit="1" customWidth="1"/>
    <col min="3" max="15" width="15" style="35" customWidth="1"/>
    <col min="16" max="16384" width="12.7265625" style="35"/>
  </cols>
  <sheetData>
    <row r="1" spans="1:15" ht="35.25" customHeight="1" x14ac:dyDescent="0.3">
      <c r="A1" s="40"/>
      <c r="B1" s="40"/>
      <c r="C1" s="108" t="s">
        <v>1</v>
      </c>
      <c r="D1" s="108" t="s">
        <v>2</v>
      </c>
      <c r="E1" s="108" t="s">
        <v>3</v>
      </c>
      <c r="F1" s="108" t="s">
        <v>4</v>
      </c>
      <c r="G1" s="108" t="s">
        <v>5</v>
      </c>
      <c r="H1" s="108" t="s">
        <v>49</v>
      </c>
      <c r="I1" s="108" t="s">
        <v>50</v>
      </c>
      <c r="J1" s="108" t="s">
        <v>51</v>
      </c>
      <c r="K1" s="108" t="s">
        <v>52</v>
      </c>
      <c r="L1" s="108" t="s">
        <v>53</v>
      </c>
      <c r="M1" s="108" t="s">
        <v>54</v>
      </c>
      <c r="N1" s="108" t="s">
        <v>55</v>
      </c>
      <c r="O1" s="108" t="s">
        <v>56</v>
      </c>
    </row>
    <row r="2" spans="1:15" ht="13" x14ac:dyDescent="0.3">
      <c r="A2" s="40" t="s">
        <v>262</v>
      </c>
    </row>
    <row r="3" spans="1:15" x14ac:dyDescent="0.25">
      <c r="B3" s="63" t="s">
        <v>149</v>
      </c>
      <c r="C3" s="141">
        <v>0.53</v>
      </c>
      <c r="D3" s="141">
        <v>0.53</v>
      </c>
      <c r="E3" s="141">
        <v>1</v>
      </c>
      <c r="F3" s="141">
        <v>1</v>
      </c>
      <c r="G3" s="141">
        <v>1</v>
      </c>
      <c r="H3" s="141">
        <v>1</v>
      </c>
      <c r="I3" s="141">
        <v>1</v>
      </c>
      <c r="J3" s="141">
        <v>1</v>
      </c>
      <c r="K3" s="141">
        <v>1</v>
      </c>
      <c r="L3" s="141">
        <v>1</v>
      </c>
      <c r="M3" s="141">
        <v>1</v>
      </c>
      <c r="N3" s="141">
        <v>1</v>
      </c>
      <c r="O3" s="141">
        <v>1</v>
      </c>
    </row>
    <row r="4" spans="1:15" x14ac:dyDescent="0.25">
      <c r="B4" s="63" t="s">
        <v>188</v>
      </c>
      <c r="C4" s="141">
        <v>1</v>
      </c>
      <c r="D4" s="141">
        <v>1</v>
      </c>
      <c r="E4" s="141">
        <v>1</v>
      </c>
      <c r="F4" s="141">
        <v>1</v>
      </c>
      <c r="G4" s="141">
        <v>1</v>
      </c>
      <c r="H4" s="141">
        <v>0.73</v>
      </c>
      <c r="I4" s="141">
        <v>0.73</v>
      </c>
      <c r="J4" s="141">
        <v>0.73</v>
      </c>
      <c r="K4" s="141">
        <v>0.73</v>
      </c>
      <c r="L4" s="141">
        <v>1</v>
      </c>
      <c r="M4" s="141">
        <v>1</v>
      </c>
      <c r="N4" s="141">
        <v>1</v>
      </c>
      <c r="O4" s="141">
        <v>1</v>
      </c>
    </row>
    <row r="5" spans="1:15" x14ac:dyDescent="0.25">
      <c r="B5" s="63" t="s">
        <v>208</v>
      </c>
      <c r="C5" s="141">
        <v>1</v>
      </c>
      <c r="D5" s="141">
        <v>1</v>
      </c>
      <c r="E5" s="141">
        <v>1</v>
      </c>
      <c r="F5" s="141">
        <v>1</v>
      </c>
      <c r="G5" s="141">
        <v>1</v>
      </c>
      <c r="H5" s="141">
        <v>0.73</v>
      </c>
      <c r="I5" s="141">
        <v>0.73</v>
      </c>
      <c r="J5" s="141">
        <v>0.73</v>
      </c>
      <c r="K5" s="141">
        <v>0.73</v>
      </c>
      <c r="L5" s="141">
        <v>1</v>
      </c>
      <c r="M5" s="141">
        <v>1</v>
      </c>
      <c r="N5" s="141">
        <v>1</v>
      </c>
      <c r="O5" s="141">
        <v>1</v>
      </c>
    </row>
    <row r="6" spans="1:15" x14ac:dyDescent="0.25">
      <c r="B6" s="63" t="s">
        <v>189</v>
      </c>
      <c r="C6" s="141">
        <v>1</v>
      </c>
      <c r="D6" s="141">
        <v>1</v>
      </c>
      <c r="E6" s="141">
        <v>1</v>
      </c>
      <c r="F6" s="141">
        <v>1</v>
      </c>
      <c r="G6" s="141">
        <v>1</v>
      </c>
      <c r="H6" s="141">
        <v>0.73</v>
      </c>
      <c r="I6" s="141">
        <v>0.73</v>
      </c>
      <c r="J6" s="141">
        <v>0.73</v>
      </c>
      <c r="K6" s="141">
        <v>0.73</v>
      </c>
      <c r="L6" s="141">
        <v>1</v>
      </c>
      <c r="M6" s="141">
        <v>1</v>
      </c>
      <c r="N6" s="141">
        <v>1</v>
      </c>
      <c r="O6" s="141">
        <v>1</v>
      </c>
    </row>
    <row r="7" spans="1:15" x14ac:dyDescent="0.25">
      <c r="B7" s="63" t="s">
        <v>190</v>
      </c>
      <c r="C7" s="141">
        <v>1</v>
      </c>
      <c r="D7" s="141">
        <v>1</v>
      </c>
      <c r="E7" s="141">
        <v>1</v>
      </c>
      <c r="F7" s="141">
        <v>1</v>
      </c>
      <c r="G7" s="141">
        <v>1</v>
      </c>
      <c r="H7" s="141">
        <v>0.73</v>
      </c>
      <c r="I7" s="141">
        <v>0.73</v>
      </c>
      <c r="J7" s="141">
        <v>0.73</v>
      </c>
      <c r="K7" s="141">
        <v>0.73</v>
      </c>
      <c r="L7" s="141">
        <v>1</v>
      </c>
      <c r="M7" s="141">
        <v>1</v>
      </c>
      <c r="N7" s="141">
        <v>1</v>
      </c>
      <c r="O7" s="141">
        <v>1</v>
      </c>
    </row>
    <row r="8" spans="1:15" x14ac:dyDescent="0.25">
      <c r="B8" s="95" t="s">
        <v>187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  <c r="H8" s="141">
        <v>1</v>
      </c>
      <c r="I8" s="141">
        <v>1</v>
      </c>
      <c r="J8" s="141">
        <v>1</v>
      </c>
      <c r="K8" s="141">
        <v>1</v>
      </c>
      <c r="L8" s="141">
        <v>0.33</v>
      </c>
      <c r="M8" s="141">
        <v>0.33</v>
      </c>
      <c r="N8" s="141">
        <v>0.33</v>
      </c>
      <c r="O8" s="141">
        <v>0.33</v>
      </c>
    </row>
    <row r="9" spans="1:15" x14ac:dyDescent="0.25">
      <c r="B9" s="95" t="s">
        <v>209</v>
      </c>
      <c r="C9" s="141">
        <v>1</v>
      </c>
      <c r="D9" s="141">
        <v>1</v>
      </c>
      <c r="E9" s="141">
        <v>1</v>
      </c>
      <c r="F9" s="141">
        <v>1</v>
      </c>
      <c r="G9" s="141">
        <v>1</v>
      </c>
      <c r="H9" s="141">
        <v>1</v>
      </c>
      <c r="I9" s="141">
        <v>1</v>
      </c>
      <c r="J9" s="141">
        <v>1</v>
      </c>
      <c r="K9" s="141">
        <v>1</v>
      </c>
      <c r="L9" s="141">
        <v>0.33</v>
      </c>
      <c r="M9" s="141">
        <v>0.33</v>
      </c>
      <c r="N9" s="141">
        <v>0.33</v>
      </c>
      <c r="O9" s="141">
        <v>0.33</v>
      </c>
    </row>
    <row r="10" spans="1:15" x14ac:dyDescent="0.25">
      <c r="B10" s="63" t="s">
        <v>57</v>
      </c>
      <c r="C10" s="141">
        <v>1</v>
      </c>
      <c r="D10" s="141">
        <v>1</v>
      </c>
      <c r="E10" s="141">
        <v>1</v>
      </c>
      <c r="F10" s="141">
        <v>1</v>
      </c>
      <c r="G10" s="141">
        <v>1</v>
      </c>
      <c r="H10" s="141">
        <v>1</v>
      </c>
      <c r="I10" s="141">
        <v>1</v>
      </c>
      <c r="J10" s="141">
        <v>1</v>
      </c>
      <c r="K10" s="141">
        <v>1</v>
      </c>
      <c r="L10" s="141">
        <v>0.83</v>
      </c>
      <c r="M10" s="141">
        <v>0.83</v>
      </c>
      <c r="N10" s="141">
        <v>0.83</v>
      </c>
      <c r="O10" s="141">
        <v>0.83</v>
      </c>
    </row>
    <row r="11" spans="1:15" x14ac:dyDescent="0.25">
      <c r="B11" s="95" t="s">
        <v>136</v>
      </c>
      <c r="C11" s="141">
        <v>1</v>
      </c>
      <c r="D11" s="141">
        <v>1</v>
      </c>
      <c r="E11" s="141">
        <v>0.69</v>
      </c>
      <c r="F11" s="141">
        <v>0.69</v>
      </c>
      <c r="G11" s="141">
        <v>1</v>
      </c>
      <c r="H11" s="141">
        <v>1</v>
      </c>
      <c r="I11" s="141">
        <v>1</v>
      </c>
      <c r="J11" s="141">
        <v>1</v>
      </c>
      <c r="K11" s="141">
        <v>1</v>
      </c>
      <c r="L11" s="141">
        <v>1</v>
      </c>
      <c r="M11" s="141">
        <v>1</v>
      </c>
      <c r="N11" s="141">
        <v>1</v>
      </c>
      <c r="O11" s="141">
        <v>1</v>
      </c>
    </row>
    <row r="12" spans="1:15" x14ac:dyDescent="0.25">
      <c r="B12" s="63" t="s">
        <v>34</v>
      </c>
      <c r="C12" s="141">
        <v>0.83</v>
      </c>
      <c r="D12" s="141">
        <v>0.83</v>
      </c>
      <c r="E12" s="141">
        <v>0.83</v>
      </c>
      <c r="F12" s="141">
        <v>0.83</v>
      </c>
      <c r="G12" s="141">
        <v>0.83</v>
      </c>
      <c r="H12" s="141">
        <v>0.83</v>
      </c>
      <c r="I12" s="141">
        <v>0.83</v>
      </c>
      <c r="J12" s="141">
        <v>0.83</v>
      </c>
      <c r="K12" s="141">
        <v>0.83</v>
      </c>
      <c r="L12" s="141">
        <v>0.83</v>
      </c>
      <c r="M12" s="141">
        <v>0.83</v>
      </c>
      <c r="N12" s="141">
        <v>0.83</v>
      </c>
      <c r="O12" s="141">
        <v>0.83</v>
      </c>
    </row>
    <row r="13" spans="1:15" ht="13.15" customHeight="1" x14ac:dyDescent="0.25">
      <c r="B13" s="63" t="s">
        <v>137</v>
      </c>
      <c r="C13" s="141">
        <v>1</v>
      </c>
      <c r="D13" s="141">
        <v>1</v>
      </c>
      <c r="E13" s="141">
        <v>0.69</v>
      </c>
      <c r="F13" s="141">
        <v>0.69</v>
      </c>
      <c r="G13" s="141">
        <v>0.69</v>
      </c>
      <c r="H13" s="141">
        <v>1</v>
      </c>
      <c r="I13" s="141">
        <v>1</v>
      </c>
      <c r="J13" s="141">
        <v>1</v>
      </c>
      <c r="K13" s="141">
        <v>1</v>
      </c>
      <c r="L13" s="141">
        <v>1</v>
      </c>
      <c r="M13" s="141">
        <v>1</v>
      </c>
      <c r="N13" s="141">
        <v>1</v>
      </c>
      <c r="O13" s="141">
        <v>1</v>
      </c>
    </row>
    <row r="14" spans="1:15" x14ac:dyDescent="0.25">
      <c r="B14" s="63" t="s">
        <v>59</v>
      </c>
      <c r="C14" s="141">
        <v>1</v>
      </c>
      <c r="D14" s="141">
        <v>1</v>
      </c>
      <c r="E14" s="141">
        <v>1</v>
      </c>
      <c r="F14" s="141">
        <v>1</v>
      </c>
      <c r="G14" s="141">
        <v>1</v>
      </c>
      <c r="H14" s="141">
        <v>1</v>
      </c>
      <c r="I14" s="141">
        <v>1</v>
      </c>
      <c r="J14" s="141">
        <v>1</v>
      </c>
      <c r="K14" s="141">
        <v>1</v>
      </c>
      <c r="L14" s="141">
        <v>0.33</v>
      </c>
      <c r="M14" s="141">
        <v>0.33</v>
      </c>
      <c r="N14" s="141">
        <v>0.33</v>
      </c>
      <c r="O14" s="141">
        <v>0.33</v>
      </c>
    </row>
    <row r="16" spans="1:15" ht="13" x14ac:dyDescent="0.3">
      <c r="A16" s="40" t="s">
        <v>263</v>
      </c>
      <c r="B16" s="63"/>
    </row>
    <row r="17" spans="2:15" x14ac:dyDescent="0.25">
      <c r="B17" s="95" t="s">
        <v>63</v>
      </c>
      <c r="C17" s="141">
        <v>1</v>
      </c>
      <c r="D17" s="141">
        <v>1</v>
      </c>
      <c r="E17" s="141">
        <v>0.97599999999999998</v>
      </c>
      <c r="F17" s="141">
        <v>0.97599999999999998</v>
      </c>
      <c r="G17" s="141">
        <v>0.97599999999999998</v>
      </c>
      <c r="H17" s="141">
        <v>0.97599999999999998</v>
      </c>
      <c r="I17" s="141">
        <v>0.97599999999999998</v>
      </c>
      <c r="J17" s="141">
        <v>0.97599999999999998</v>
      </c>
      <c r="K17" s="141">
        <v>0.97599999999999998</v>
      </c>
      <c r="L17" s="141">
        <v>0.97599999999999998</v>
      </c>
      <c r="M17" s="141">
        <v>0.97599999999999998</v>
      </c>
      <c r="N17" s="141">
        <v>0.97599999999999998</v>
      </c>
      <c r="O17" s="141">
        <v>0.97599999999999998</v>
      </c>
    </row>
    <row r="18" spans="2:15" x14ac:dyDescent="0.25">
      <c r="B18" s="95" t="s">
        <v>64</v>
      </c>
      <c r="C18" s="141">
        <v>1</v>
      </c>
      <c r="D18" s="141">
        <v>1</v>
      </c>
      <c r="E18" s="141">
        <v>0.97599999999999998</v>
      </c>
      <c r="F18" s="141">
        <v>0.97599999999999998</v>
      </c>
      <c r="G18" s="141">
        <v>0.97599999999999998</v>
      </c>
      <c r="H18" s="141">
        <v>0.97599999999999998</v>
      </c>
      <c r="I18" s="141">
        <v>0.97599999999999998</v>
      </c>
      <c r="J18" s="141">
        <v>0.97599999999999998</v>
      </c>
      <c r="K18" s="141">
        <v>0.97599999999999998</v>
      </c>
      <c r="L18" s="141">
        <v>0.97599999999999998</v>
      </c>
      <c r="M18" s="141">
        <v>0.97599999999999998</v>
      </c>
      <c r="N18" s="141">
        <v>0.97599999999999998</v>
      </c>
      <c r="O18" s="141">
        <v>0.97599999999999998</v>
      </c>
    </row>
    <row r="19" spans="2:15" x14ac:dyDescent="0.25">
      <c r="B19" s="95" t="s">
        <v>62</v>
      </c>
      <c r="C19" s="141">
        <v>1</v>
      </c>
      <c r="D19" s="141">
        <v>1</v>
      </c>
      <c r="E19" s="141">
        <v>0.97599999999999998</v>
      </c>
      <c r="F19" s="141">
        <v>0.97599999999999998</v>
      </c>
      <c r="G19" s="141">
        <v>0.97599999999999998</v>
      </c>
      <c r="H19" s="141">
        <v>0.97599999999999998</v>
      </c>
      <c r="I19" s="141">
        <v>0.97599999999999998</v>
      </c>
      <c r="J19" s="141">
        <v>0.97599999999999998</v>
      </c>
      <c r="K19" s="141">
        <v>0.97599999999999998</v>
      </c>
      <c r="L19" s="141">
        <v>0.97599999999999998</v>
      </c>
      <c r="M19" s="141">
        <v>0.97599999999999998</v>
      </c>
      <c r="N19" s="141">
        <v>0.97599999999999998</v>
      </c>
      <c r="O19" s="141">
        <v>0.97599999999999998</v>
      </c>
    </row>
    <row r="20" spans="2:15" x14ac:dyDescent="0.25">
      <c r="B20" s="95" t="s">
        <v>47</v>
      </c>
      <c r="C20" s="141">
        <v>1</v>
      </c>
      <c r="D20" s="141">
        <v>1</v>
      </c>
      <c r="E20" s="141">
        <v>0.97599999999999998</v>
      </c>
      <c r="F20" s="141">
        <v>0.97599999999999998</v>
      </c>
      <c r="G20" s="141">
        <v>0.97599999999999998</v>
      </c>
      <c r="H20" s="141">
        <v>0.97599999999999998</v>
      </c>
      <c r="I20" s="141">
        <v>0.97599999999999998</v>
      </c>
      <c r="J20" s="141">
        <v>0.97599999999999998</v>
      </c>
      <c r="K20" s="141">
        <v>0.97599999999999998</v>
      </c>
      <c r="L20" s="141">
        <v>0.97599999999999998</v>
      </c>
      <c r="M20" s="141">
        <v>0.97599999999999998</v>
      </c>
      <c r="N20" s="141">
        <v>0.97599999999999998</v>
      </c>
      <c r="O20" s="141">
        <v>0.97599999999999998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D5" sqref="D5:G5"/>
    </sheetView>
  </sheetViews>
  <sheetFormatPr defaultColWidth="12.7265625" defaultRowHeight="12.5" x14ac:dyDescent="0.25"/>
  <cols>
    <col min="1" max="1" width="21.26953125" style="35" customWidth="1"/>
    <col min="2" max="2" width="27.26953125" style="35" customWidth="1"/>
    <col min="3" max="7" width="15.54296875" style="35" customWidth="1"/>
    <col min="8" max="16384" width="12.7265625" style="35"/>
  </cols>
  <sheetData>
    <row r="1" spans="1:7" ht="13" x14ac:dyDescent="0.3">
      <c r="A1" s="40"/>
      <c r="B1" s="124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ht="13" x14ac:dyDescent="0.3">
      <c r="A2" s="40" t="s">
        <v>264</v>
      </c>
    </row>
    <row r="3" spans="1:7" x14ac:dyDescent="0.25">
      <c r="B3" s="63" t="s">
        <v>67</v>
      </c>
      <c r="C3" s="141">
        <v>1</v>
      </c>
      <c r="D3" s="141">
        <v>0.22</v>
      </c>
      <c r="E3" s="141">
        <v>0.22</v>
      </c>
      <c r="F3" s="141">
        <v>0.22</v>
      </c>
      <c r="G3" s="141">
        <v>0.22</v>
      </c>
    </row>
    <row r="4" spans="1:7" ht="13" x14ac:dyDescent="0.3">
      <c r="A4" s="40" t="s">
        <v>265</v>
      </c>
      <c r="B4" s="63"/>
      <c r="C4" s="132"/>
      <c r="D4" s="132"/>
      <c r="E4" s="132"/>
      <c r="F4" s="132"/>
      <c r="G4" s="132"/>
    </row>
    <row r="5" spans="1:7" x14ac:dyDescent="0.25">
      <c r="B5" s="95" t="s">
        <v>183</v>
      </c>
      <c r="C5" s="141">
        <v>1</v>
      </c>
      <c r="D5" s="141">
        <v>0.16</v>
      </c>
      <c r="E5" s="141">
        <v>0.16</v>
      </c>
      <c r="F5" s="141">
        <v>0.16</v>
      </c>
      <c r="G5" s="141">
        <v>0.16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49"/>
  <sheetViews>
    <sheetView topLeftCell="C11" zoomScale="111" workbookViewId="0">
      <selection activeCell="E43" sqref="E43"/>
    </sheetView>
  </sheetViews>
  <sheetFormatPr defaultColWidth="12.7265625" defaultRowHeight="12.5" x14ac:dyDescent="0.25"/>
  <cols>
    <col min="1" max="1" width="53" style="52" customWidth="1"/>
    <col min="2" max="2" width="30.54296875" style="52" customWidth="1"/>
    <col min="3" max="3" width="24.7265625" style="52" customWidth="1"/>
    <col min="4" max="4" width="15" style="35" customWidth="1"/>
    <col min="5" max="5" width="13.7265625" style="35" customWidth="1"/>
    <col min="6" max="6" width="14.453125" style="35" customWidth="1"/>
    <col min="7" max="7" width="12.7265625" style="35"/>
    <col min="8" max="8" width="17.54296875" style="35" customWidth="1"/>
    <col min="9" max="16384" width="12.7265625" style="35"/>
  </cols>
  <sheetData>
    <row r="1" spans="1:9" ht="13" x14ac:dyDescent="0.3">
      <c r="A1" s="40" t="s">
        <v>69</v>
      </c>
      <c r="B1" s="40" t="s">
        <v>266</v>
      </c>
      <c r="C1" s="130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1">
        <v>0</v>
      </c>
      <c r="E2" s="141">
        <v>0</v>
      </c>
      <c r="F2" s="141">
        <v>0.33500000000000002</v>
      </c>
      <c r="G2" s="141">
        <v>0.33500000000000002</v>
      </c>
      <c r="H2" s="141">
        <v>0.33500000000000002</v>
      </c>
    </row>
    <row r="3" spans="1:9" x14ac:dyDescent="0.25">
      <c r="C3" s="52" t="s">
        <v>269</v>
      </c>
      <c r="D3" s="141">
        <v>0</v>
      </c>
      <c r="E3" s="141">
        <v>0</v>
      </c>
      <c r="F3" s="141">
        <v>0.36</v>
      </c>
      <c r="G3" s="141">
        <v>0.36</v>
      </c>
      <c r="H3" s="141">
        <v>0.36</v>
      </c>
    </row>
    <row r="4" spans="1:9" x14ac:dyDescent="0.25">
      <c r="C4" s="52" t="s">
        <v>270</v>
      </c>
      <c r="D4" s="141">
        <v>0</v>
      </c>
      <c r="E4" s="141">
        <v>0</v>
      </c>
      <c r="F4" s="141">
        <v>0.45</v>
      </c>
      <c r="G4" s="141">
        <v>0.45</v>
      </c>
      <c r="H4" s="141">
        <v>0.45</v>
      </c>
    </row>
    <row r="5" spans="1:9" x14ac:dyDescent="0.25">
      <c r="A5" s="52" t="s">
        <v>58</v>
      </c>
      <c r="B5" s="52" t="s">
        <v>66</v>
      </c>
      <c r="C5" s="52" t="s">
        <v>268</v>
      </c>
      <c r="D5" s="141">
        <v>0</v>
      </c>
      <c r="E5" s="141">
        <v>0</v>
      </c>
      <c r="F5" s="141">
        <v>0.33500000000000002</v>
      </c>
      <c r="G5" s="141">
        <v>0.33500000000000002</v>
      </c>
      <c r="H5" s="141">
        <v>0.33500000000000002</v>
      </c>
    </row>
    <row r="6" spans="1:9" x14ac:dyDescent="0.25">
      <c r="C6" s="52" t="s">
        <v>270</v>
      </c>
      <c r="D6" s="141">
        <v>0</v>
      </c>
      <c r="E6" s="141">
        <v>0</v>
      </c>
      <c r="F6" s="141">
        <v>0.25970149253731345</v>
      </c>
      <c r="G6" s="141">
        <v>0.25970149253731345</v>
      </c>
      <c r="H6" s="141">
        <v>0</v>
      </c>
    </row>
    <row r="7" spans="1:9" x14ac:dyDescent="0.25">
      <c r="B7" s="52" t="s">
        <v>65</v>
      </c>
      <c r="C7" s="52" t="s">
        <v>268</v>
      </c>
      <c r="D7" s="141">
        <v>0</v>
      </c>
      <c r="E7" s="141">
        <v>0</v>
      </c>
      <c r="F7" s="141">
        <v>0.33500000000000002</v>
      </c>
      <c r="G7" s="141">
        <v>0.33500000000000002</v>
      </c>
      <c r="H7" s="141">
        <v>0.33500000000000002</v>
      </c>
    </row>
    <row r="8" spans="1:9" x14ac:dyDescent="0.25">
      <c r="C8" s="52" t="s">
        <v>270</v>
      </c>
      <c r="D8" s="141">
        <v>0</v>
      </c>
      <c r="E8" s="141">
        <v>0</v>
      </c>
      <c r="F8" s="141">
        <v>0.25970149253731345</v>
      </c>
      <c r="G8" s="141">
        <v>0.25970149253731345</v>
      </c>
      <c r="H8" s="141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1">
        <v>0</v>
      </c>
      <c r="E9" s="141">
        <v>0</v>
      </c>
      <c r="F9" s="141">
        <v>0.33500000000000002</v>
      </c>
      <c r="G9" s="141">
        <v>0.33500000000000002</v>
      </c>
      <c r="H9" s="141">
        <v>0.33500000000000002</v>
      </c>
    </row>
    <row r="10" spans="1:9" x14ac:dyDescent="0.25">
      <c r="C10" s="52" t="s">
        <v>270</v>
      </c>
      <c r="D10" s="141">
        <v>0</v>
      </c>
      <c r="E10" s="141">
        <v>0</v>
      </c>
      <c r="F10" s="141">
        <v>0.25970149253731345</v>
      </c>
      <c r="G10" s="141">
        <v>0.25970149253731345</v>
      </c>
      <c r="H10" s="141">
        <v>0</v>
      </c>
    </row>
    <row r="11" spans="1:9" x14ac:dyDescent="0.25">
      <c r="B11" s="52" t="s">
        <v>65</v>
      </c>
      <c r="C11" s="52" t="s">
        <v>268</v>
      </c>
      <c r="D11" s="141">
        <v>0</v>
      </c>
      <c r="E11" s="141">
        <v>0</v>
      </c>
      <c r="F11" s="141">
        <v>0.33500000000000002</v>
      </c>
      <c r="G11" s="141">
        <v>0.33500000000000002</v>
      </c>
      <c r="H11" s="141">
        <v>0.33500000000000002</v>
      </c>
    </row>
    <row r="12" spans="1:9" x14ac:dyDescent="0.25">
      <c r="C12" s="52" t="s">
        <v>270</v>
      </c>
      <c r="D12" s="141">
        <v>0</v>
      </c>
      <c r="E12" s="141">
        <v>0</v>
      </c>
      <c r="F12" s="141">
        <v>0.25970149253731345</v>
      </c>
      <c r="G12" s="141">
        <v>0.25970149253731345</v>
      </c>
      <c r="H12" s="141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1">
        <v>0</v>
      </c>
      <c r="E13" s="141">
        <v>0</v>
      </c>
      <c r="F13" s="141">
        <v>0.8</v>
      </c>
      <c r="G13" s="141">
        <v>0.8</v>
      </c>
      <c r="H13" s="141">
        <v>0.8</v>
      </c>
    </row>
    <row r="14" spans="1:9" x14ac:dyDescent="0.25">
      <c r="C14" s="52" t="s">
        <v>270</v>
      </c>
      <c r="D14" s="141">
        <v>0</v>
      </c>
      <c r="E14" s="141">
        <v>0</v>
      </c>
      <c r="F14" s="141">
        <v>0.85</v>
      </c>
      <c r="G14" s="141">
        <v>0.85</v>
      </c>
      <c r="H14" s="141">
        <v>0.85</v>
      </c>
      <c r="I14" s="36"/>
    </row>
    <row r="15" spans="1:9" x14ac:dyDescent="0.25">
      <c r="B15" s="52" t="s">
        <v>65</v>
      </c>
      <c r="C15" s="52" t="s">
        <v>268</v>
      </c>
      <c r="D15" s="141">
        <v>0</v>
      </c>
      <c r="E15" s="141">
        <v>0</v>
      </c>
      <c r="F15" s="141">
        <v>0.8</v>
      </c>
      <c r="G15" s="141">
        <v>0.8</v>
      </c>
      <c r="H15" s="141">
        <v>0.8</v>
      </c>
      <c r="I15" s="36"/>
    </row>
    <row r="16" spans="1:9" x14ac:dyDescent="0.25">
      <c r="C16" s="52" t="s">
        <v>270</v>
      </c>
      <c r="D16" s="141">
        <v>0</v>
      </c>
      <c r="E16" s="141">
        <v>0</v>
      </c>
      <c r="F16" s="141">
        <v>0.75</v>
      </c>
      <c r="G16" s="141">
        <v>0.75</v>
      </c>
      <c r="H16" s="141">
        <v>0.75</v>
      </c>
      <c r="I16" s="36"/>
    </row>
    <row r="17" spans="1:9" x14ac:dyDescent="0.25">
      <c r="A17" s="52" t="s">
        <v>62</v>
      </c>
      <c r="B17" s="52" t="s">
        <v>27</v>
      </c>
      <c r="C17" s="52" t="s">
        <v>268</v>
      </c>
      <c r="D17" s="141">
        <v>0.7</v>
      </c>
      <c r="E17" s="141">
        <v>0</v>
      </c>
      <c r="F17" s="141">
        <v>0</v>
      </c>
      <c r="G17" s="141">
        <v>0</v>
      </c>
      <c r="H17" s="141">
        <v>0</v>
      </c>
      <c r="I17" s="36"/>
    </row>
    <row r="18" spans="1:9" x14ac:dyDescent="0.25">
      <c r="C18" s="52" t="s">
        <v>269</v>
      </c>
      <c r="D18" s="141">
        <v>0.19</v>
      </c>
      <c r="E18" s="141">
        <v>0</v>
      </c>
      <c r="F18" s="141">
        <v>0</v>
      </c>
      <c r="G18" s="141">
        <v>0</v>
      </c>
      <c r="H18" s="141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268</v>
      </c>
      <c r="D19" s="141">
        <v>0.7</v>
      </c>
      <c r="E19" s="141">
        <v>0</v>
      </c>
      <c r="F19" s="141">
        <v>0</v>
      </c>
      <c r="G19" s="141">
        <v>0</v>
      </c>
      <c r="H19" s="141">
        <v>0</v>
      </c>
    </row>
    <row r="20" spans="1:9" x14ac:dyDescent="0.25">
      <c r="C20" s="52" t="s">
        <v>269</v>
      </c>
      <c r="D20" s="141">
        <v>0.19</v>
      </c>
      <c r="E20" s="141">
        <v>0</v>
      </c>
      <c r="F20" s="141">
        <v>0</v>
      </c>
      <c r="G20" s="141">
        <v>0</v>
      </c>
      <c r="H20" s="141">
        <v>0</v>
      </c>
    </row>
    <row r="21" spans="1:9" x14ac:dyDescent="0.25">
      <c r="A21" s="52" t="s">
        <v>64</v>
      </c>
      <c r="B21" s="52" t="s">
        <v>27</v>
      </c>
      <c r="C21" s="52" t="s">
        <v>268</v>
      </c>
      <c r="D21" s="141">
        <v>0.7</v>
      </c>
      <c r="E21" s="141">
        <v>0</v>
      </c>
      <c r="F21" s="141">
        <v>0</v>
      </c>
      <c r="G21" s="141">
        <v>0</v>
      </c>
      <c r="H21" s="141">
        <v>0</v>
      </c>
    </row>
    <row r="22" spans="1:9" x14ac:dyDescent="0.25">
      <c r="C22" s="52" t="s">
        <v>269</v>
      </c>
      <c r="D22" s="141">
        <v>0.19</v>
      </c>
      <c r="E22" s="141">
        <v>0</v>
      </c>
      <c r="F22" s="141">
        <v>0</v>
      </c>
      <c r="G22" s="141">
        <v>0</v>
      </c>
      <c r="H22" s="141">
        <v>0</v>
      </c>
    </row>
    <row r="23" spans="1:9" x14ac:dyDescent="0.25">
      <c r="A23" s="52" t="s">
        <v>79</v>
      </c>
      <c r="B23" s="52" t="s">
        <v>71</v>
      </c>
      <c r="C23" s="52" t="s">
        <v>268</v>
      </c>
      <c r="D23" s="141">
        <v>1</v>
      </c>
      <c r="E23" s="141">
        <v>1</v>
      </c>
      <c r="F23" s="141">
        <v>1</v>
      </c>
      <c r="G23" s="141">
        <v>1</v>
      </c>
      <c r="H23" s="141">
        <v>1</v>
      </c>
    </row>
    <row r="24" spans="1:9" x14ac:dyDescent="0.25">
      <c r="C24" s="52" t="s">
        <v>269</v>
      </c>
      <c r="D24" s="141">
        <v>0</v>
      </c>
      <c r="E24" s="141">
        <v>0</v>
      </c>
      <c r="F24" s="141">
        <v>0</v>
      </c>
      <c r="G24" s="141">
        <v>0</v>
      </c>
      <c r="H24" s="141">
        <v>0</v>
      </c>
    </row>
    <row r="25" spans="1:9" x14ac:dyDescent="0.25">
      <c r="C25" s="52" t="s">
        <v>270</v>
      </c>
      <c r="D25" s="141">
        <v>0</v>
      </c>
      <c r="E25" s="141">
        <v>0</v>
      </c>
      <c r="F25" s="141">
        <v>0</v>
      </c>
      <c r="G25" s="141">
        <v>0</v>
      </c>
      <c r="H25" s="141">
        <v>0</v>
      </c>
    </row>
    <row r="26" spans="1:9" x14ac:dyDescent="0.25">
      <c r="A26" s="52" t="s">
        <v>80</v>
      </c>
      <c r="B26" s="52" t="s">
        <v>71</v>
      </c>
      <c r="C26" s="52" t="s">
        <v>268</v>
      </c>
      <c r="D26" s="141">
        <v>1</v>
      </c>
      <c r="E26" s="141">
        <v>1</v>
      </c>
      <c r="F26" s="141">
        <v>1</v>
      </c>
      <c r="G26" s="141">
        <v>1</v>
      </c>
      <c r="H26" s="141">
        <v>1</v>
      </c>
    </row>
    <row r="27" spans="1:9" x14ac:dyDescent="0.25">
      <c r="C27" s="52" t="s">
        <v>269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</row>
    <row r="28" spans="1:9" x14ac:dyDescent="0.25">
      <c r="C28" s="52" t="s">
        <v>270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</row>
    <row r="29" spans="1:9" x14ac:dyDescent="0.25">
      <c r="A29" s="52" t="s">
        <v>81</v>
      </c>
      <c r="B29" s="52" t="s">
        <v>71</v>
      </c>
      <c r="C29" s="52" t="s">
        <v>268</v>
      </c>
      <c r="D29" s="141">
        <v>1</v>
      </c>
      <c r="E29" s="141">
        <v>1</v>
      </c>
      <c r="F29" s="141">
        <v>1</v>
      </c>
      <c r="G29" s="141">
        <v>1</v>
      </c>
      <c r="H29" s="141">
        <v>1</v>
      </c>
    </row>
    <row r="30" spans="1:9" x14ac:dyDescent="0.25">
      <c r="C30" s="52" t="s">
        <v>269</v>
      </c>
      <c r="D30" s="141">
        <v>0</v>
      </c>
      <c r="E30" s="141">
        <v>0</v>
      </c>
      <c r="F30" s="141">
        <v>0</v>
      </c>
      <c r="G30" s="141">
        <v>0</v>
      </c>
      <c r="H30" s="141">
        <v>0</v>
      </c>
    </row>
    <row r="31" spans="1:9" x14ac:dyDescent="0.25">
      <c r="C31" s="52" t="s">
        <v>270</v>
      </c>
      <c r="D31" s="141">
        <v>0</v>
      </c>
      <c r="E31" s="141">
        <v>0</v>
      </c>
      <c r="F31" s="141">
        <v>0</v>
      </c>
      <c r="G31" s="141">
        <v>0</v>
      </c>
      <c r="H31" s="141">
        <v>0</v>
      </c>
    </row>
    <row r="32" spans="1:9" x14ac:dyDescent="0.25">
      <c r="A32" s="52" t="s">
        <v>82</v>
      </c>
      <c r="B32" s="52" t="s">
        <v>71</v>
      </c>
      <c r="C32" s="52" t="s">
        <v>268</v>
      </c>
      <c r="D32" s="141">
        <v>1</v>
      </c>
      <c r="E32" s="141">
        <v>1</v>
      </c>
      <c r="F32" s="141">
        <v>1</v>
      </c>
      <c r="G32" s="141">
        <v>1</v>
      </c>
      <c r="H32" s="141">
        <v>1</v>
      </c>
    </row>
    <row r="33" spans="1:8" x14ac:dyDescent="0.25">
      <c r="C33" s="52" t="s">
        <v>269</v>
      </c>
      <c r="D33" s="141">
        <v>0</v>
      </c>
      <c r="E33" s="141">
        <v>0</v>
      </c>
      <c r="F33" s="141">
        <v>0</v>
      </c>
      <c r="G33" s="141">
        <v>0</v>
      </c>
      <c r="H33" s="141">
        <v>0</v>
      </c>
    </row>
    <row r="34" spans="1:8" x14ac:dyDescent="0.25">
      <c r="C34" s="52" t="s">
        <v>270</v>
      </c>
      <c r="D34" s="141">
        <v>0</v>
      </c>
      <c r="E34" s="141">
        <v>0</v>
      </c>
      <c r="F34" s="141">
        <v>0</v>
      </c>
      <c r="G34" s="141">
        <v>0</v>
      </c>
      <c r="H34" s="141">
        <v>0</v>
      </c>
    </row>
    <row r="35" spans="1:8" x14ac:dyDescent="0.25">
      <c r="A35" s="52" t="s">
        <v>83</v>
      </c>
      <c r="B35" s="52" t="s">
        <v>71</v>
      </c>
      <c r="C35" s="52" t="s">
        <v>268</v>
      </c>
      <c r="D35" s="141">
        <v>1</v>
      </c>
      <c r="E35" s="141">
        <v>1</v>
      </c>
      <c r="F35" s="141">
        <v>1</v>
      </c>
      <c r="G35" s="141">
        <v>1</v>
      </c>
      <c r="H35" s="141">
        <v>1</v>
      </c>
    </row>
    <row r="36" spans="1:8" x14ac:dyDescent="0.25">
      <c r="C36" s="52" t="s">
        <v>269</v>
      </c>
      <c r="D36" s="141">
        <v>0</v>
      </c>
      <c r="E36" s="141">
        <v>0</v>
      </c>
      <c r="F36" s="141">
        <v>0</v>
      </c>
      <c r="G36" s="141">
        <v>0</v>
      </c>
      <c r="H36" s="141">
        <v>0</v>
      </c>
    </row>
    <row r="37" spans="1:8" x14ac:dyDescent="0.25">
      <c r="C37" s="52" t="s">
        <v>270</v>
      </c>
      <c r="D37" s="141">
        <v>0</v>
      </c>
      <c r="E37" s="141">
        <v>0</v>
      </c>
      <c r="F37" s="141">
        <v>0</v>
      </c>
      <c r="G37" s="141">
        <v>0</v>
      </c>
      <c r="H37" s="141">
        <v>0</v>
      </c>
    </row>
    <row r="38" spans="1:8" x14ac:dyDescent="0.25">
      <c r="A38" s="52" t="s">
        <v>60</v>
      </c>
      <c r="B38" s="52" t="s">
        <v>71</v>
      </c>
      <c r="C38" s="52" t="s">
        <v>268</v>
      </c>
      <c r="D38" s="141">
        <v>0.3</v>
      </c>
      <c r="E38" s="141">
        <v>0.3</v>
      </c>
      <c r="F38" s="141">
        <v>0.3</v>
      </c>
      <c r="G38" s="141">
        <v>0.3</v>
      </c>
      <c r="H38" s="141">
        <v>0.3</v>
      </c>
    </row>
    <row r="39" spans="1:8" x14ac:dyDescent="0.25">
      <c r="C39" s="52" t="s">
        <v>269</v>
      </c>
      <c r="D39" s="141">
        <v>0.5</v>
      </c>
      <c r="E39" s="141">
        <v>0.5</v>
      </c>
      <c r="F39" s="141">
        <v>0.5</v>
      </c>
      <c r="G39" s="141">
        <v>0.5</v>
      </c>
      <c r="H39" s="141">
        <v>0.5</v>
      </c>
    </row>
    <row r="40" spans="1:8" x14ac:dyDescent="0.25">
      <c r="C40" s="52" t="s">
        <v>270</v>
      </c>
      <c r="D40" s="141">
        <v>0.65</v>
      </c>
      <c r="E40" s="141">
        <v>0.65</v>
      </c>
      <c r="F40" s="141">
        <v>0.65</v>
      </c>
      <c r="G40" s="141">
        <v>0.65</v>
      </c>
      <c r="H40" s="141">
        <v>0.65</v>
      </c>
    </row>
    <row r="41" spans="1:8" x14ac:dyDescent="0.25">
      <c r="B41" s="52" t="s">
        <v>16</v>
      </c>
      <c r="C41" s="52" t="s">
        <v>268</v>
      </c>
      <c r="D41" s="141">
        <v>0.3</v>
      </c>
      <c r="E41" s="141">
        <v>0.3</v>
      </c>
      <c r="F41" s="141">
        <v>0.3</v>
      </c>
      <c r="G41" s="141">
        <v>0.3</v>
      </c>
      <c r="H41" s="141">
        <v>0.3</v>
      </c>
    </row>
    <row r="42" spans="1:8" x14ac:dyDescent="0.25">
      <c r="C42" s="52" t="s">
        <v>269</v>
      </c>
      <c r="D42" s="141">
        <v>0.5</v>
      </c>
      <c r="E42" s="141">
        <v>0.5</v>
      </c>
      <c r="F42" s="141">
        <v>0.5</v>
      </c>
      <c r="G42" s="141">
        <v>0.5</v>
      </c>
      <c r="H42" s="141">
        <v>0.5</v>
      </c>
    </row>
    <row r="43" spans="1:8" x14ac:dyDescent="0.25">
      <c r="C43" s="52" t="s">
        <v>270</v>
      </c>
      <c r="D43" s="141">
        <v>0.63</v>
      </c>
      <c r="E43" s="141">
        <v>0.63</v>
      </c>
      <c r="F43" s="141">
        <v>0.63</v>
      </c>
      <c r="G43" s="141">
        <v>0.63</v>
      </c>
      <c r="H43" s="141">
        <v>0.63</v>
      </c>
    </row>
    <row r="44" spans="1:8" x14ac:dyDescent="0.25">
      <c r="A44" s="52" t="s">
        <v>84</v>
      </c>
      <c r="B44" s="52" t="s">
        <v>71</v>
      </c>
      <c r="C44" s="52" t="s">
        <v>268</v>
      </c>
      <c r="D44" s="141">
        <v>0.88</v>
      </c>
      <c r="E44" s="141">
        <v>0.88</v>
      </c>
      <c r="F44" s="141">
        <v>0.88</v>
      </c>
      <c r="G44" s="141">
        <v>0.88</v>
      </c>
      <c r="H44" s="141">
        <v>0.88</v>
      </c>
    </row>
    <row r="45" spans="1:8" x14ac:dyDescent="0.25">
      <c r="C45" s="52" t="s">
        <v>269</v>
      </c>
      <c r="D45" s="141">
        <v>0.8</v>
      </c>
      <c r="E45" s="141">
        <v>0.8</v>
      </c>
      <c r="F45" s="141">
        <v>0.8</v>
      </c>
      <c r="G45" s="141">
        <v>0.8</v>
      </c>
      <c r="H45" s="141">
        <v>0.8</v>
      </c>
    </row>
    <row r="46" spans="1:8" x14ac:dyDescent="0.25">
      <c r="A46" s="52" t="s">
        <v>85</v>
      </c>
      <c r="B46" s="52" t="s">
        <v>71</v>
      </c>
      <c r="C46" s="52" t="s">
        <v>268</v>
      </c>
      <c r="D46" s="141">
        <v>1</v>
      </c>
      <c r="E46" s="141">
        <v>1</v>
      </c>
      <c r="F46" s="141">
        <v>1</v>
      </c>
      <c r="G46" s="141">
        <v>1</v>
      </c>
      <c r="H46" s="141">
        <v>1</v>
      </c>
    </row>
    <row r="47" spans="1:8" x14ac:dyDescent="0.25">
      <c r="C47" s="52" t="s">
        <v>269</v>
      </c>
      <c r="D47" s="141">
        <v>0.76</v>
      </c>
      <c r="E47" s="141">
        <v>0.76</v>
      </c>
      <c r="F47" s="141">
        <v>0.76</v>
      </c>
      <c r="G47" s="141">
        <v>0.76</v>
      </c>
      <c r="H47" s="141">
        <v>0.76</v>
      </c>
    </row>
    <row r="48" spans="1:8" x14ac:dyDescent="0.25">
      <c r="A48" s="52" t="s">
        <v>196</v>
      </c>
      <c r="B48" s="52" t="s">
        <v>13</v>
      </c>
      <c r="C48" s="52" t="s">
        <v>268</v>
      </c>
      <c r="D48" s="141">
        <v>0.57999999999999996</v>
      </c>
      <c r="E48" s="141">
        <v>0</v>
      </c>
      <c r="F48" s="141">
        <v>0</v>
      </c>
      <c r="G48" s="141">
        <v>0</v>
      </c>
      <c r="H48" s="141">
        <v>0</v>
      </c>
    </row>
    <row r="49" spans="3:8" x14ac:dyDescent="0.25">
      <c r="C49" s="52" t="s">
        <v>269</v>
      </c>
      <c r="D49" s="141">
        <v>0.88</v>
      </c>
      <c r="E49" s="141">
        <v>0</v>
      </c>
      <c r="F49" s="141">
        <v>0</v>
      </c>
      <c r="G49" s="141">
        <v>0</v>
      </c>
      <c r="H49" s="14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topLeftCell="C1" workbookViewId="0">
      <selection activeCell="D7" sqref="D7:G7"/>
    </sheetView>
  </sheetViews>
  <sheetFormatPr defaultColWidth="12.7265625" defaultRowHeight="12.5" x14ac:dyDescent="0.25"/>
  <cols>
    <col min="1" max="1" width="28" style="35" customWidth="1"/>
    <col min="2" max="2" width="27.453125" style="35" customWidth="1"/>
    <col min="3" max="3" width="23.7265625" style="35" customWidth="1"/>
    <col min="4" max="7" width="17.26953125" style="35" customWidth="1"/>
    <col min="8" max="16384" width="12.7265625" style="35"/>
  </cols>
  <sheetData>
    <row r="1" spans="1:8" ht="13" x14ac:dyDescent="0.3">
      <c r="A1" s="124" t="s">
        <v>69</v>
      </c>
      <c r="B1" s="124" t="s">
        <v>266</v>
      </c>
      <c r="C1" s="124"/>
      <c r="D1" s="40" t="s">
        <v>53</v>
      </c>
      <c r="E1" s="40" t="s">
        <v>54</v>
      </c>
      <c r="F1" s="40" t="s">
        <v>55</v>
      </c>
      <c r="G1" s="40" t="s">
        <v>56</v>
      </c>
      <c r="H1" s="99"/>
    </row>
    <row r="2" spans="1:8" x14ac:dyDescent="0.25">
      <c r="A2" s="43" t="s">
        <v>86</v>
      </c>
      <c r="B2" s="35" t="s">
        <v>41</v>
      </c>
      <c r="C2" s="43" t="s">
        <v>268</v>
      </c>
      <c r="D2" s="141">
        <v>1</v>
      </c>
      <c r="E2" s="141">
        <v>1</v>
      </c>
      <c r="F2" s="141">
        <v>1</v>
      </c>
      <c r="G2" s="141">
        <v>1</v>
      </c>
      <c r="H2" s="95"/>
    </row>
    <row r="3" spans="1:8" x14ac:dyDescent="0.25">
      <c r="C3" s="35" t="s">
        <v>269</v>
      </c>
      <c r="D3" s="141">
        <v>0.2</v>
      </c>
      <c r="E3" s="141">
        <v>0.2</v>
      </c>
      <c r="F3" s="141">
        <v>0.2</v>
      </c>
      <c r="G3" s="141">
        <v>0.2</v>
      </c>
      <c r="H3" s="133"/>
    </row>
    <row r="4" spans="1:8" x14ac:dyDescent="0.25">
      <c r="A4" s="43" t="s">
        <v>87</v>
      </c>
      <c r="B4" s="35" t="s">
        <v>41</v>
      </c>
      <c r="C4" s="43" t="s">
        <v>268</v>
      </c>
      <c r="D4" s="141">
        <v>1</v>
      </c>
      <c r="E4" s="141">
        <v>1</v>
      </c>
      <c r="F4" s="141">
        <v>1</v>
      </c>
      <c r="G4" s="141">
        <v>1</v>
      </c>
      <c r="H4" s="133"/>
    </row>
    <row r="5" spans="1:8" x14ac:dyDescent="0.25">
      <c r="A5" s="36"/>
      <c r="C5" s="35" t="s">
        <v>269</v>
      </c>
      <c r="D5" s="141">
        <v>0.59</v>
      </c>
      <c r="E5" s="141">
        <v>0.59</v>
      </c>
      <c r="F5" s="141">
        <v>0.59</v>
      </c>
      <c r="G5" s="141">
        <v>0.59</v>
      </c>
      <c r="H5" s="95"/>
    </row>
    <row r="6" spans="1:8" x14ac:dyDescent="0.25">
      <c r="A6" s="43" t="s">
        <v>88</v>
      </c>
      <c r="B6" s="35" t="s">
        <v>41</v>
      </c>
      <c r="C6" s="43" t="s">
        <v>268</v>
      </c>
      <c r="D6" s="141">
        <v>1</v>
      </c>
      <c r="E6" s="141">
        <v>1</v>
      </c>
      <c r="F6" s="141">
        <v>1</v>
      </c>
      <c r="G6" s="141">
        <v>1</v>
      </c>
      <c r="H6" s="95"/>
    </row>
    <row r="7" spans="1:8" x14ac:dyDescent="0.25">
      <c r="A7" s="36"/>
      <c r="C7" s="35" t="s">
        <v>269</v>
      </c>
      <c r="D7" s="141">
        <v>0.59</v>
      </c>
      <c r="E7" s="141">
        <v>0.59</v>
      </c>
      <c r="F7" s="141">
        <v>0.59</v>
      </c>
      <c r="G7" s="141">
        <v>0.59</v>
      </c>
      <c r="H7" s="133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target population</vt:lpstr>
      <vt:lpstr>Programs cost and coverage</vt:lpstr>
      <vt:lpstr>IYCF cost</vt:lpstr>
      <vt:lpstr>Program dependencies</vt:lpstr>
      <vt:lpstr>Reference programs</vt:lpstr>
      <vt:lpstr>Incidence of conditions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 Delport</cp:lastModifiedBy>
  <dcterms:created xsi:type="dcterms:W3CDTF">2017-08-01T10:42:13Z</dcterms:created>
  <dcterms:modified xsi:type="dcterms:W3CDTF">2020-03-24T06:49:13Z</dcterms:modified>
</cp:coreProperties>
</file>