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BA4D19AD-A332-4528-925E-E19F072B9123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H7" i="2"/>
  <c r="H8" i="2"/>
  <c r="H9" i="2"/>
  <c r="H10" i="2"/>
  <c r="H11" i="2"/>
  <c r="H12" i="2"/>
  <c r="I12" i="2" s="1"/>
  <c r="H13" i="2"/>
  <c r="I13" i="2" s="1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" i="2" s="1"/>
  <c r="I34" i="2"/>
  <c r="I24" i="2"/>
  <c r="I22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7" i="51" l="1"/>
  <c r="C6" i="51"/>
  <c r="I15" i="2"/>
  <c r="I14" i="2"/>
  <c r="I11" i="2"/>
  <c r="I10" i="2"/>
  <c r="I9" i="2"/>
  <c r="I8" i="2"/>
  <c r="I7" i="2"/>
  <c r="I6" i="2"/>
  <c r="I4" i="2"/>
  <c r="I3" i="2"/>
  <c r="C8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CD16E8CD-1FA4-42ED-B55A-FA4FC4235C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A0CADDB4-F6AC-446A-B460-C4481E1D168F}">
      <text>
        <r>
          <rPr>
            <sz val="9"/>
            <color indexed="81"/>
            <rFont val="Tahoma"/>
            <charset val="1"/>
          </rPr>
          <t>Source: LiST</t>
        </r>
      </text>
    </comment>
    <comment ref="C9" authorId="0" shapeId="0" xr:uid="{0E0AD5EE-D4A6-4C30-B4A6-371885FEECC4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D8B353EC-8C7D-494B-BC5D-AD444D76BCC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D2134717-BECF-4889-92A3-6B7E41E7260A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C296989F-5BE0-4158-AF4B-0BB65D50DD8A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52DD7C66-C760-4B45-8315-234DFACA5AA7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798EE145-D75A-4889-83DB-865012E9BB8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91E5BE25-3592-4972-87A2-2AE25658A44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9581C463-AEAD-48AE-B798-BCEDBC362DC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09E797A9-2D4E-4372-BEF4-870DA8D0879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1FE45531-2FE0-48F8-9350-B2AA12B013E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D3B89B9B-18D5-4CB1-A576-8101D8CB2B6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8C73C2BD-23E0-456B-AADC-989F37D3A80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4C9C0886-D4B2-4546-AB06-4E244FCDCF7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F654195B-C0A1-4FD6-9C9A-732ABF0C0D5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42E3100C-96A1-4D49-AB84-7ED3F6FAB1C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4343C3AF-7793-48A1-95E2-674765396F0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8899B522-4EDB-47C8-9CBE-7ED6F93E960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E2832F90-3F20-4ABF-9982-50FD3A8C9EB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F3B79FEE-9E1F-4F2F-BEA8-11482915AC8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7DFEBCCD-B661-4FC1-A6FC-3113601C420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6F272243-BB98-47BC-BD31-5C463C9C8EB0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84049715-ADF3-4B97-9948-5BBEB801269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7FC1E791-820B-4511-B861-DD8515A2493A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97CF7121-85CD-40B2-8C81-1BFF312FC7D8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66728375-6A53-4078-85D6-5074D7899C73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4595846C-460B-4692-AC3E-D3049864A944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32AB1B95-3219-48DE-BB21-79ED4BF7114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54C61B27-3B96-4886-80B9-D89B9BFA19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D50BF375-D573-4E86-86F6-FA22EFA93F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95D4A83B-90E2-424D-A697-0E57C3B6816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D1658040-0F7F-4E2C-BA69-54A266698C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C458BFCF-9C25-42FB-AB4F-C4377FA5F713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F7495897-B71F-439D-9336-9A3BA3D2E86D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534B901B-C4FD-43BA-ABB5-E23D298B04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4DCFBE5D-A061-478D-8090-15655F20E5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E87A649E-DA37-430C-A29A-02A10E0B2A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12415280-C285-4931-B695-8AADA770CF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83F1EF0C-A0FD-418C-BD5B-B098B11AD2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A86473DD-956B-48E9-B0B9-F75AA962BE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5A428EC7-CC5F-4EC1-97C3-B47DB80E92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667A7123-8949-46B2-A0AB-504B6A7746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E58A8C2C-2D7F-4D7E-8005-0135A1165B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36F74BC6-64EF-47A7-B2F5-9C81784FB7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E898DC60-044E-4774-9A2A-25E658E832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C5F19B46-ACE1-4750-B807-0B2B7537A7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B671553A-157E-4333-A5B0-782BA4A308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04442323-47B8-4C7C-9FCF-88060E845C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FFB95A12-A9B0-47AB-A2D0-45DBD081F0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9A90CC19-B110-48AC-B176-1442ABC15F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6C524FC3-B588-4CC0-8A52-20E93CD672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D9854B65-9E56-4EF1-8AC7-4F233B56EC9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5E7D5F58-2E05-47AE-BB2A-609F631038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95CBDDAA-13A3-430A-BAFC-5EE7F5F88F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DD9C2695-3D23-4BC0-953D-5E19213295D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E840528D-F97D-4A5E-A75F-7B15F3B659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9D947230-E070-4FC4-810E-E51B6BF3CC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B56DD47C-F0C4-44A0-9A38-3C10CF2179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A5C392C9-67D4-4BD9-A82C-0C0F26ABC4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EA817B73-07A7-4195-8A3C-6E9C5533DB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D0810C8E-18A1-44A4-991C-7F1E83B007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39DC5A94-A08E-4E22-AE96-4FE1E0AA54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1BF38D07-23BC-431B-BD0C-64FA0CAAA3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701FD86F-C5D0-40E4-A8A3-E3738BDDA5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BB0FE0D2-E597-456E-AE2D-F49D179F6B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EF061311-28C4-4053-ABA3-184F3AA3B3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F0169799-855D-40C9-939E-140A9AA20F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D5A115A7-87D0-48AA-A457-26DA8AD3D8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711FF8AF-18EB-4EC3-85D9-4F0F5A2B08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8AB7192E-3D52-4A60-B2BB-E603C54F16F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5E82BE08-0A17-425B-BB31-D743DE56E8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991C84BA-07E1-4954-8B37-26DEE5E43D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170A940A-70CF-413F-89EF-07EEB43A23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25340D03-E3DC-4F83-B06D-211B86C5FE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F6B9D364-F0D9-407F-A462-89B69DF3E1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5E58A96A-A7DA-4EC8-85CA-C69664636B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7B1471CC-D1A3-49D2-8911-07E6DE69C9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2B0F68CA-FA96-43CA-AE41-522997C83E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F21CA56D-9A9A-4B6B-BBC8-D2C8BFB0B6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E97DCC44-A5A5-41B8-87ED-5A007702F6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1C7D2CB8-A0B0-4214-A965-BAB16A0949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A93C0A0D-9ADF-40F5-B8E4-ECDCC18F98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18885469-DF32-4886-BEB7-992A1E1E24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8E4D0B2F-E1BC-423A-8BEB-32855514A2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F5328518-3481-42C7-9794-51EA324B29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E1FA947E-34EC-4B37-9255-320415EBC5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A5CB7402-64AE-4281-83A2-D1C16B3BC9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F3941E3A-4EE3-4897-9973-C8C1A4FEA1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45180B4D-8518-4D12-83BD-A6A93145D4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B5F025C5-CE1A-422C-80D4-5A9CECB06C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B709D546-D234-49D2-AD80-37C2DA4C15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93C01780-6A57-41DA-884A-269C69181F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4D5DB80F-BDE1-4C6D-B34F-65D39DB12F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DCA06DB7-2842-425F-B041-4D2EF9C974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D5365AFD-B588-4C56-87DF-4BBD04D7C1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3F794A3F-28F9-44B7-913A-0556AAA42C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A6474D32-61A5-47B7-BA7F-358E831043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B8C18B53-184E-4E22-8533-A7C945ACA7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538298D6-1A2F-4BF1-B8DF-C608B67F95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8D90B985-5B79-4328-B3E7-677B8C5D61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55D1D23A-53D6-45A0-8FCF-9FDF4AD410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1AAB413A-B3DA-4171-99AD-4202634D74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AC80E1D4-0510-4329-AFF8-A818812C7D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AAB0FACC-A885-4C0F-921A-D3BDD76203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5F27EB9D-022F-4544-919D-B809E61AD8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CEBF9E59-75C4-496F-93E9-CE50A60285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FEAB39B6-9069-4544-BCD4-C601E6EF81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C0CF9493-6478-4FB7-8080-5847BA3D2B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E00D959D-DC38-4771-A5DC-3BC25556C12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2496D901-6C5F-4AA8-B480-CF6E274A18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88BA138C-DE81-43D0-A9D1-5C1A4049C8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C732EA7B-A8FA-453B-8C56-A668D8EBA3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2797137F-7591-4E0E-B6DE-81594913175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3319A812-471C-4C14-99DA-E3DA00722F7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26E046E8-E4BC-4DDC-9209-3F2A0C76F24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06914EF8-E951-443A-BBE7-67FB2D00A9B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364AAD5F-BE42-4317-B59D-CF0FC642F71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8B6805C3-A45D-4B04-A1D4-D69BBB4780B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EE55E448-75FA-4AD5-A195-78D2B1E1296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72FBB3E8-FE41-4B37-9495-B7E67BB1AB9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9A9B9C5B-95B8-46E1-9722-7CE0D6AEC72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F0A40854-51D2-4B5C-85F4-8A3B8EE1712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7E15AD39-7BF3-49A1-AE64-E3B92585419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BB65DC69-D5A3-4CDD-9689-169C0369817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10045BE6-249C-4253-86CE-3F217629686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E1D4AE44-A033-4C21-88CB-83ABB702D05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86606C2F-8BA6-4940-820D-CC078740573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8A5C0D4E-CEFC-491A-A68C-73881194EBD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40EC2C39-728C-4BBC-918B-D061B0B8661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3011FA57-CC2B-4040-9563-07F96A2B886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37B9E4EF-C518-4B98-A4DD-80982C7ED36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66230792-C5B8-479F-9F30-927CE4C2EF1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7C8986BC-3BC0-4627-A4E0-CF8439E9867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1AABEA9E-D486-48D3-8EEF-0A60EB5CB35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C3A26C7B-D22C-4110-9046-19D20C9F95E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B7798392-2672-4719-974C-D7E227D983B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948CCC08-9B84-4985-9EE5-4EA25744645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B4D65277-5FAD-4885-A98F-41899743926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58A3C1DC-4C27-4168-9512-E984A706354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919CDD11-65E9-48C2-AAAF-EAA314184FF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63BF7355-D3E6-4362-ABBD-DB330905FCB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1C0DF280-3EB8-4A6C-937B-CB233ED7408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E5BCCFCD-4D37-4EC2-B0A9-C89F57377F1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DEA46146-C097-4472-8971-DF2B3128799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104D2B5B-2C72-42CE-A909-FB608E84C93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463F8F15-AFD7-409C-A320-86D248A8524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00CEB107-4968-4583-8DB2-7ABF1900F6E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6C8801C4-16BD-410B-B609-3F8CE6B6102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D99A9415-6B96-4569-A897-FAFAEF50F5F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246AFEEB-1233-4138-8CA3-6A8989A1827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A764EC27-B263-49F9-AE15-94331EF055E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1D40A9C8-D1E9-4C66-9B9B-51CF27529EF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AD14619D-03B2-4A24-AB90-84DE3D5B1B5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20446986-609C-4D07-AE3B-C4CE53CEB10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C530DA87-A6E8-477E-8A78-8565F9F4232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DAA89BED-484B-4491-9012-7E1F362B255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AA2356A5-3985-4B18-920F-F4118D948175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17E87261-5437-4F41-8B2A-97DD7713034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2FF4333E-778D-4F3B-8400-9ACD0B1E186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7C434A8B-41DD-485B-BD53-12204408327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75EDBCD2-4C4B-40D6-A4E3-8E0C35BC530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362F46F2-F5A2-4276-A161-A06A5E77E71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4E0CE1E6-B17C-40F2-B8E7-D8B0A889A9E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A40085FF-C151-4AA0-B30B-805AE569C61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AB8C6B46-AD19-4DA0-944D-E22BDA3AFF3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DF5AB643-C2E0-46D3-B620-510676AFD3C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EFF2436B-4146-4F99-ADC5-0BD2570B736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CD50536A-45B4-43D7-846E-7CB5B63AFA2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CD3D2405-0F71-486B-9B57-21DD8F9366D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DF85AB66-C875-4F72-B49B-5B2C1FB4F85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EA8DC99A-2A18-424C-A632-A447861661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9E4B429B-B39F-435B-8CA1-935090F3065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1CBB7FFD-9144-4941-ABE4-0E4B4C2AB0F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CD2A4754-0398-4FFE-9F8A-D817231B0EE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651A8C4A-71C9-41A4-B9DC-2D768C9DDB6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F89913D4-6827-4304-A7B6-80F9FA8BFC5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452A059A-AAC3-41AE-AB96-CADEDA183F3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9E188D30-CA29-417E-9ED0-5B2C9058AB1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7AF34FC0-EA81-4E0E-BFCD-6AFBB1DB8D8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AD7BF515-AAC9-45EE-8925-F557E214910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E8D2ED73-4E02-400B-9C71-E85CF94155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F9264CB4-A7A8-4896-B54E-505C9C9C445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E081B0BD-3A0B-42AF-8D56-7F124ABDB48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B7004491-D8C9-4B95-B830-4A312F1EB4B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44CC706B-C859-4707-8E08-A40775A4E13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738A2F91-B2F4-41E2-92AD-F81C7C1BFE9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34958C2A-8B9D-46A0-A8EF-0679FD09E88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426AC51D-0E28-4C33-8146-ABDF3F793AE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611419F9-7FD0-4045-834E-557BD77F12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9610A684-E73F-4246-954A-5D843D50EDA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745E0437-E409-4BDA-B5EC-A8B8ADE6D98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61944422-9188-436F-A8DE-3DE043CC583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B4D98E9D-9B88-43B5-9040-5B7E09D0B86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4B64927C-224D-4817-A7F7-AB2186CC2BE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13F673E0-9C92-4665-A528-F80A4CCD6DC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C237056D-7F09-406B-9C7E-192398E2384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DC5C79D6-B9DA-4DF2-80A7-83068A2BE20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386A1222-4C44-442E-A545-63350846F9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F867F573-5A38-4616-9B9B-305AA836FD9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1B32A229-CE0C-4FC4-B3D6-50B9CDF9C4F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96063DF7-3E0A-4C4B-9A94-139874C4704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7C1C3121-2B9C-474C-869E-2E0A75670EC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D1BF63B7-CC08-4980-961C-E9F173FD28D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CD40BED4-B17D-4C56-B526-B67593E7B71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F9FEF602-0EA9-46E7-833C-BC7A2B1BB18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3B6BBC6A-F707-44AC-80CE-DA9736825C4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BC0C19FB-3174-4F5B-A765-A33E29A1DAC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47B9B303-B55E-4BDD-BF8A-F43101C0CA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910D57EF-CEFF-4545-936D-10950B8C4A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DF1DCC57-33FF-40F6-ADD6-FBF9B7DAA2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59998848-842B-4F57-BAFE-A4BB18CBACF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1440E3A2-E950-47AE-BAD8-8B92AF10F9E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4D227D4F-2675-4166-ACAB-562C128A4B30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52D3636F-F365-4D48-954B-D1EDE3AD3E55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80848263-66E2-44D4-B964-E2B9FAC118C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42ADC0E3-721E-495B-854A-6AFF6345E79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77D4130B-BFD4-4472-A652-05282BBDE21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1709EB23-B4AD-4F25-BE99-01353E5A867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5B5828B3-B6C3-440C-8C57-A94267F1D1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14754D4A-2C34-44D8-80F2-A03409D3D5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5AA8D557-2E86-4E34-8CD6-B38F83C96B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51911F9D-21B3-4303-9D82-A683A77222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97ED95E7-4643-4156-865B-BC8D2A71AB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E14D512E-32FA-4AD9-A24C-727B434421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77520CE5-C287-443F-B98F-C74925B0964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3F9CAB44-3CC5-4F19-8ED1-1D06494674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BDD87548-9C77-4DA4-8BE4-EA7B0E3B2B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2DA72CFF-8201-46C2-8C42-F094D9F24BD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2AAB19F7-9A00-42AB-AD32-E2BEC3149C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9C0F629C-2B0C-4E6F-A048-EB05D2F567F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D4EADBD6-D080-41CF-AE46-6C9B687C4E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A2A7F2E7-6934-4234-8C78-C71D07CB6D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8E3002B8-BD5F-4DB5-A955-1C51D1489A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1F8AF576-7828-4BE0-BB7E-DEE3C9F2364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35BD7FDE-87FD-42C4-A453-54E48CF661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0E2C16CF-6E66-40FB-8CF7-DC724E19B8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F7CD5ABD-DBD7-46A8-8372-9644E52B4E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05EAFFE4-BED2-4D81-9CF0-053371D272A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C6DB4A1E-DA88-4A0F-B8C7-377F405473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7EB9AAC7-BD38-4402-8607-0399F0BA41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0FEC6F9D-12C9-4352-8805-063FCD9929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C959BC8E-C988-480F-B5DB-8427C4FBC3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330182DC-8E9B-4777-8E02-0555D22191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A3E9F5CB-1688-4D9A-87D2-B3F81B78AF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7169119D-743A-43DA-95A3-33B4E61A97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5B5F82DA-E227-41B4-8EEB-D09FA309B69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1986C2EF-2BC0-4342-B5AC-8C62B1A8B6D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D90E5140-166A-4ED9-BB78-1803BC4A9D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A695A512-0108-4E2D-93EF-65C76621B3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DFCD1058-5761-4149-9B8A-C1220B8C56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36C7C68E-1FEB-4425-AF51-FC0DFE7A744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5FE7AD25-292B-4A24-B34B-9477F2355FD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70AF0EC9-4889-458C-8C67-D6973B683B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0C0F08E7-F987-4732-B4D8-7A156BC95F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679FF615-713C-4D3E-9C30-5CAB9E77060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5442C23E-3440-4C23-9AD3-75D28AF6B4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F89F1961-1067-44B7-B012-F8E9B556D3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0C195C59-A267-41F0-9615-67B2EEC824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3124D2FE-34C2-4564-98D9-451FDEC6FA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4E69C9BE-B69E-413B-AD0A-AA245D554E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6F0768F8-6E80-45F2-A93A-697C5C64B1A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C1EA8460-3A55-47FF-9AC1-82CC2B8390D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9099B8B7-B283-4168-AC67-4F582275054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D2290F29-A685-4DFF-B24F-6EE3498D861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303BB536-4E5A-4FEC-B889-5A9672E79B90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7C99B529-1D46-442B-8AFB-17CA7EBAA50D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566BCBB3-30CF-4BCD-8FC0-48372CF94EA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5228AE26-6E26-4B2A-9966-1B3069EED30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983FA425-1AAC-4CD8-BA3C-2A28597FFD9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C2533B2F-15C1-4D1C-B14A-6B3BB5D1C6B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D4C23B15-39BA-4CAD-9A38-278A88F23C6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5A5947CC-7845-48B7-AD88-A9C4F587BE4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1D60CB75-5B47-4440-99BC-A215F8177D1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8D5A7216-B2FE-4833-85B9-BD9023C2C3A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47F966BE-2F1A-4810-9D6A-FD65ED626F3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10602656-97A8-4BF2-846C-5279BEEBE30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A091A1B7-A8D8-4A97-9C15-94CB07CF191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38BCD40A-5738-41A7-BCBE-89864EABC24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C915D28C-8B8A-4ACC-B023-1F46913EC7F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A23228A0-0DC9-452E-A5CA-F06288E1DCB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E510CC60-E669-4515-B0D1-35CAC18D83A7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A38CDCF8-C9CF-4419-AA73-67A227B2195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21870DCC-3ECD-4B7C-8443-D6796311D14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6793DA48-D1C8-43F9-A81E-04721027FB6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B972A79C-0C34-4E50-B57D-0B41524F898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4BC4ED85-18C6-4325-B62E-6D87A69798F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1D9ACA95-45D3-4F6E-A09B-7F5B6E5DBEF9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E79D1F8E-715D-453E-9D10-0354E3DC52F0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FE1122A9-A2EE-492D-8EED-3123EEA68B7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B2F7F670-330F-4F89-8636-2E3838FF1F1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D1E0DF3D-9E05-48BF-8D25-6A895C10B1E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3F3600F3-F280-4FAA-8204-BB8E8718B85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5CBA6779-3101-4D33-A98F-7FDA1BC907F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F8A96AF7-3F6B-48C4-BEA6-88C45A0D8C40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9CAC78AF-4D8D-456E-99A2-9C75EC772939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1A959DA7-A764-45A3-A033-569706D6E2C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71D8CF51-487E-4D07-9E26-278D68C7634F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CCB63CF6-6556-40D5-A849-E67C05E8DC9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1D5D8E66-01CE-4EF3-8227-45F60F316F6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992BDA1D-DE3B-4E15-9DDD-23CF881AA3B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20A12C94-DBE1-414C-A078-94170B3080B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8F9FD421-A195-40CD-B2A6-6D28A9BD16E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69D7C851-9CC5-44A3-BCD7-4D5103DAF7B7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6EB02D69-6DD6-453E-B332-3E7A69F0C4D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EFC00C54-204C-478F-94D4-99CEEED46A4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11F034D2-DE18-4E45-8F04-1C62CC3814D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A516B24A-4077-4286-9EBB-74FDDA861F6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9C8B210F-2C29-43DF-9B78-87300F634B4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EC973BB4-291A-43FF-B036-4146AFF0FB2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5A424A90-1EA5-4AD9-B551-5CD2872C7876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6852950D-3A01-4A21-9BF6-13062839B4DF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B953A635-5B8A-446B-847C-707018F805D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B12BCB52-32D3-42EE-8E9C-9F3919C342E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1B9B3CD9-91A4-4E60-AA21-D1C710EB1E7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6DBBD66C-2518-43C0-AA45-AE1855744D8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B378087A-DBFA-4973-B3EA-2949C3D41D2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1C9D4538-0DDC-497F-A095-6E9FC30D1BC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BB4EF3C3-2EE0-4C0F-A9DA-6BFCCA11526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FB2F5070-4FA2-4F5C-951B-CD77F3FCAF81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173714C5-097F-44BE-8EED-A78F27AE2FC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97B40058-C1D4-4BB5-A679-A615B14B4F6D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61107C85-AEDD-491E-8427-B56FFB401FD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<sst xmlns="http://schemas.openxmlformats.org/spreadsheetml/2006/main" count="1102" uniqueCount="271">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</sst>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76611</v>
      </c>
    </row>
    <row r="8" spans="1:3" ht="15" customHeight="1" x14ac:dyDescent="0.25">
      <c r="B8" s="7" t="s">
        <v>106</v>
      </c>
      <c r="C8" s="70">
        <v>0.127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0.85866676330566405</v>
      </c>
    </row>
    <row r="11" spans="1:3" ht="15" customHeight="1" x14ac:dyDescent="0.25">
      <c r="B11" s="7" t="s">
        <v>108</v>
      </c>
      <c r="C11" s="70">
        <v>0.86699999999999999</v>
      </c>
    </row>
    <row r="12" spans="1:3" ht="15" customHeight="1" x14ac:dyDescent="0.25">
      <c r="B12" s="7" t="s">
        <v>109</v>
      </c>
      <c r="C12" s="70">
        <v>0.83599999999999997</v>
      </c>
    </row>
    <row r="13" spans="1:3" ht="15" customHeight="1" x14ac:dyDescent="0.25">
      <c r="B13" s="7" t="s">
        <v>110</v>
      </c>
      <c r="C13" s="70">
        <v>0.47499999999999998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0.17370000000000002</v>
      </c>
    </row>
    <row r="24" spans="1:3" ht="15" customHeight="1" x14ac:dyDescent="0.25">
      <c r="B24" s="20" t="s">
        <v>102</v>
      </c>
      <c r="C24" s="71">
        <v>0.52529999999999999</v>
      </c>
    </row>
    <row r="25" spans="1:3" ht="15" customHeight="1" x14ac:dyDescent="0.25">
      <c r="B25" s="20" t="s">
        <v>103</v>
      </c>
      <c r="C25" s="71">
        <v>0.26539999999999997</v>
      </c>
    </row>
    <row r="26" spans="1:3" ht="15" customHeight="1" x14ac:dyDescent="0.25">
      <c r="B26" s="20" t="s">
        <v>104</v>
      </c>
      <c r="C26" s="71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0.33100000000000002</v>
      </c>
    </row>
    <row r="30" spans="1:3" ht="14.25" customHeight="1" x14ac:dyDescent="0.25">
      <c r="B30" s="30" t="s">
        <v>76</v>
      </c>
      <c r="C30" s="73">
        <v>6.2E-2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0.48700000000000004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18.899999999999999</v>
      </c>
    </row>
    <row r="38" spans="1:5" ht="15" customHeight="1" x14ac:dyDescent="0.25">
      <c r="B38" s="16" t="s">
        <v>91</v>
      </c>
      <c r="C38" s="75">
        <v>26</v>
      </c>
      <c r="D38" s="17"/>
      <c r="E38" s="18"/>
    </row>
    <row r="39" spans="1:5" ht="15" customHeight="1" x14ac:dyDescent="0.25">
      <c r="B39" s="16" t="s">
        <v>90</v>
      </c>
      <c r="C39" s="75">
        <v>31.3</v>
      </c>
      <c r="D39" s="17"/>
      <c r="E39" s="17"/>
    </row>
    <row r="40" spans="1:5" ht="15" customHeight="1" x14ac:dyDescent="0.25">
      <c r="B40" s="16" t="s">
        <v>171</v>
      </c>
      <c r="C40" s="75">
        <v>2.29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2.76E-2</v>
      </c>
      <c r="D45" s="17"/>
    </row>
    <row r="46" spans="1:5" ht="15.75" customHeight="1" x14ac:dyDescent="0.25">
      <c r="B46" s="16" t="s">
        <v>11</v>
      </c>
      <c r="C46" s="71">
        <v>0.1048</v>
      </c>
      <c r="D46" s="17"/>
    </row>
    <row r="47" spans="1:5" ht="15.75" customHeight="1" x14ac:dyDescent="0.25">
      <c r="B47" s="16" t="s">
        <v>12</v>
      </c>
      <c r="C47" s="71">
        <v>0.16329999999999997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0.70430000000000004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1.6131153241625</v>
      </c>
      <c r="D51" s="17"/>
    </row>
    <row r="52" spans="1:4" ht="15" customHeight="1" x14ac:dyDescent="0.25">
      <c r="B52" s="16" t="s">
        <v>125</v>
      </c>
      <c r="C52" s="76">
        <v>1.3691038197399998</v>
      </c>
    </row>
    <row r="53" spans="1:4" ht="15.75" customHeight="1" x14ac:dyDescent="0.25">
      <c r="B53" s="16" t="s">
        <v>126</v>
      </c>
      <c r="C53" s="76">
        <v>1.3691038197399998</v>
      </c>
    </row>
    <row r="54" spans="1:4" ht="15.75" customHeight="1" x14ac:dyDescent="0.25">
      <c r="B54" s="16" t="s">
        <v>127</v>
      </c>
      <c r="C54" s="76">
        <v>1.1271898323</v>
      </c>
    </row>
    <row r="55" spans="1:4" ht="15.75" customHeight="1" x14ac:dyDescent="0.25">
      <c r="B55" s="16" t="s">
        <v>128</v>
      </c>
      <c r="C55" s="76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0.47322021795857949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60.485902574974247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39.935189433056244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452.91394116290678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0.70869763079820258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1.5346551475381369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1.5346551475381369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1.5346551475381369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1.5346551475381369</v>
      </c>
      <c r="E13" s="86" t="s">
        <v>202</v>
      </c>
    </row>
    <row r="14" spans="1:5" ht="15.75" customHeight="1" x14ac:dyDescent="0.25">
      <c r="A14" s="11" t="s">
        <v>187</v>
      </c>
      <c r="B14" s="85">
        <v>0.34200000000000003</v>
      </c>
      <c r="C14" s="85">
        <v>0.95</v>
      </c>
      <c r="D14" s="86">
        <v>13.067488876852154</v>
      </c>
      <c r="E14" s="86" t="s">
        <v>202</v>
      </c>
    </row>
    <row r="15" spans="1:5" ht="15.75" customHeight="1" x14ac:dyDescent="0.25">
      <c r="A15" s="11" t="s">
        <v>209</v>
      </c>
      <c r="B15" s="85">
        <v>0.34200000000000003</v>
      </c>
      <c r="C15" s="85">
        <v>0.95</v>
      </c>
      <c r="D15" s="86">
        <v>13.067488876852154</v>
      </c>
      <c r="E15" s="86" t="s">
        <v>202</v>
      </c>
    </row>
    <row r="16" spans="1:5" ht="15.75" customHeight="1" x14ac:dyDescent="0.25">
      <c r="A16" s="52" t="s">
        <v>57</v>
      </c>
      <c r="B16" s="85">
        <v>1E-3</v>
      </c>
      <c r="C16" s="85">
        <v>0.95</v>
      </c>
      <c r="D16" s="86">
        <v>0.77775449539503461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0.52600000000000002</v>
      </c>
      <c r="C18" s="85">
        <v>0.95</v>
      </c>
      <c r="D18" s="87">
        <v>10.429698010738493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10.429698010738493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10.429698010738493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7.1524381906876151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22.579312803378102</v>
      </c>
      <c r="E22" s="86" t="s">
        <v>202</v>
      </c>
    </row>
    <row r="23" spans="1:5" ht="15.75" customHeight="1" x14ac:dyDescent="0.25">
      <c r="A23" s="52" t="s">
        <v>34</v>
      </c>
      <c r="B23" s="85">
        <v>5.2999999999999999E-2</v>
      </c>
      <c r="C23" s="85">
        <v>0.95</v>
      </c>
      <c r="D23" s="86">
        <v>4.3139060578863351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18.690391823443857</v>
      </c>
      <c r="E24" s="86" t="s">
        <v>202</v>
      </c>
    </row>
    <row r="25" spans="1:5" ht="15.75" customHeight="1" x14ac:dyDescent="0.25">
      <c r="A25" s="52" t="s">
        <v>87</v>
      </c>
      <c r="B25" s="85">
        <v>0.63600000000000001</v>
      </c>
      <c r="C25" s="85">
        <v>0.95</v>
      </c>
      <c r="D25" s="86">
        <v>18.613811250129757</v>
      </c>
      <c r="E25" s="86" t="s">
        <v>202</v>
      </c>
    </row>
    <row r="26" spans="1:5" ht="15.75" customHeight="1" x14ac:dyDescent="0.25">
      <c r="A26" s="52" t="s">
        <v>137</v>
      </c>
      <c r="B26" s="85">
        <v>0.34200000000000003</v>
      </c>
      <c r="C26" s="85">
        <v>0.95</v>
      </c>
      <c r="D26" s="86">
        <v>5.3434294277000118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7.6856248220904524</v>
      </c>
      <c r="E27" s="86" t="s">
        <v>202</v>
      </c>
    </row>
    <row r="28" spans="1:5" ht="15.75" customHeight="1" x14ac:dyDescent="0.25">
      <c r="A28" s="52" t="s">
        <v>84</v>
      </c>
      <c r="B28" s="85">
        <v>0.498</v>
      </c>
      <c r="C28" s="85">
        <v>0.95</v>
      </c>
      <c r="D28" s="86">
        <v>1.0753983320974412</v>
      </c>
      <c r="E28" s="86" t="s">
        <v>202</v>
      </c>
    </row>
    <row r="29" spans="1:5" ht="15.75" customHeight="1" x14ac:dyDescent="0.25">
      <c r="A29" s="52" t="s">
        <v>58</v>
      </c>
      <c r="B29" s="85">
        <v>0.52600000000000002</v>
      </c>
      <c r="C29" s="85">
        <v>0.95</v>
      </c>
      <c r="D29" s="86">
        <v>119.25460236637704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1.867912036673709</v>
      </c>
      <c r="E30" s="86" t="s">
        <v>202</v>
      </c>
    </row>
    <row r="31" spans="1:5" ht="15.75" customHeight="1" x14ac:dyDescent="0.25">
      <c r="A31" s="52" t="s">
        <v>28</v>
      </c>
      <c r="B31" s="85">
        <v>0.56299999999999994</v>
      </c>
      <c r="C31" s="85">
        <v>0.95</v>
      </c>
      <c r="D31" s="86">
        <v>1.6681309666930346</v>
      </c>
      <c r="E31" s="86" t="s">
        <v>202</v>
      </c>
    </row>
    <row r="32" spans="1:5" ht="15.75" customHeight="1" x14ac:dyDescent="0.25">
      <c r="A32" s="52" t="s">
        <v>83</v>
      </c>
      <c r="B32" s="85">
        <v>0.78799999999999992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0.46600000000000003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0.83700000000000008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0.98299999999999998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0.67299999999999993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1.3000000000000001E-2</v>
      </c>
      <c r="C37" s="85">
        <v>0.95</v>
      </c>
      <c r="D37" s="86">
        <v>2.4011122949653489</v>
      </c>
      <c r="E37" s="86" t="s">
        <v>202</v>
      </c>
    </row>
    <row r="38" spans="1:6" ht="15.75" customHeight="1" x14ac:dyDescent="0.25">
      <c r="A38" s="52" t="s">
        <v>60</v>
      </c>
      <c r="B38" s="85">
        <v>1.3000000000000001E-2</v>
      </c>
      <c r="C38" s="85">
        <v>0.95</v>
      </c>
      <c r="D38" s="86">
        <v>1.6892531728074744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0.12058017140000001</v>
      </c>
      <c r="C3" s="26">
        <f>frac_mam_1_5months * 2.6</f>
        <v>0.12058017140000001</v>
      </c>
      <c r="D3" s="26">
        <f>frac_mam_6_11months * 2.6</f>
        <v>0.14997134879999999</v>
      </c>
      <c r="E3" s="26">
        <f>frac_mam_12_23months * 2.6</f>
        <v>9.8478406000000018E-2</v>
      </c>
      <c r="F3" s="26">
        <f>frac_mam_24_59months * 2.6</f>
        <v>0.1276695836</v>
      </c>
    </row>
    <row r="4" spans="1:6" ht="15.75" customHeight="1" x14ac:dyDescent="0.25">
      <c r="A4" s="3" t="s">
        <v>66</v>
      </c>
      <c r="B4" s="26">
        <f>frac_sam_1month * 2.6</f>
        <v>5.0648995800000006E-2</v>
      </c>
      <c r="C4" s="26">
        <f>frac_sam_1_5months * 2.6</f>
        <v>5.0648995800000006E-2</v>
      </c>
      <c r="D4" s="26">
        <f>frac_sam_6_11months * 2.6</f>
        <v>5.2236066999999997E-2</v>
      </c>
      <c r="E4" s="26">
        <f>frac_sam_12_23months * 2.6</f>
        <v>4.4579405000000003E-2</v>
      </c>
      <c r="F4" s="26">
        <f>frac_sam_24_59months * 2.6</f>
        <v>4.2724086600000009E-2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15859.767150999998</v>
      </c>
      <c r="C2" s="78">
        <v>39354</v>
      </c>
      <c r="D2" s="78">
        <v>66442</v>
      </c>
      <c r="E2" s="78">
        <v>49835</v>
      </c>
      <c r="F2" s="78">
        <v>46954</v>
      </c>
      <c r="G2" s="22">
        <f t="shared" ref="G2:G40" si="0">C2+D2+E2+F2</f>
        <v>202585</v>
      </c>
      <c r="H2" s="22">
        <f t="shared" ref="H2:H40" si="1">(B2 + stillbirth*B2/(1000-stillbirth))/(1-abortion)</f>
        <v>18548.654268358288</v>
      </c>
      <c r="I2" s="22">
        <f>G2-H2</f>
        <v>184036.34573164172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15768.508666666667</v>
      </c>
      <c r="C3" s="78">
        <v>39000</v>
      </c>
      <c r="D3" s="78">
        <v>68000</v>
      </c>
      <c r="E3" s="78">
        <v>48000</v>
      </c>
      <c r="F3" s="78">
        <v>48000</v>
      </c>
      <c r="G3" s="22">
        <f t="shared" si="0"/>
        <v>203000</v>
      </c>
      <c r="H3" s="22">
        <f t="shared" si="1"/>
        <v>18441.923692881548</v>
      </c>
      <c r="I3" s="22">
        <f t="shared" ref="I3:I15" si="3">G3-H3</f>
        <v>184558.07630711846</v>
      </c>
    </row>
    <row r="4" spans="1:9" ht="15.75" customHeight="1" x14ac:dyDescent="0.25">
      <c r="A4" s="7">
        <f t="shared" si="2"/>
        <v>2019</v>
      </c>
      <c r="B4" s="77">
        <v>15692.517666666665</v>
      </c>
      <c r="C4" s="78">
        <v>38000</v>
      </c>
      <c r="D4" s="78">
        <v>71000</v>
      </c>
      <c r="E4" s="78">
        <v>47000</v>
      </c>
      <c r="F4" s="78">
        <v>48000</v>
      </c>
      <c r="G4" s="22">
        <f t="shared" si="0"/>
        <v>204000</v>
      </c>
      <c r="H4" s="22">
        <f t="shared" si="1"/>
        <v>18353.049072397731</v>
      </c>
      <c r="I4" s="22">
        <f t="shared" si="3"/>
        <v>185646.95092760227</v>
      </c>
    </row>
    <row r="5" spans="1:9" ht="15.75" customHeight="1" x14ac:dyDescent="0.25">
      <c r="A5" s="7">
        <f t="shared" si="2"/>
        <v>2020</v>
      </c>
      <c r="B5" s="77">
        <v>15594.565000000001</v>
      </c>
      <c r="C5" s="78">
        <v>37000</v>
      </c>
      <c r="D5" s="78">
        <v>72000</v>
      </c>
      <c r="E5" s="78">
        <v>46000</v>
      </c>
      <c r="F5" s="78">
        <v>48000</v>
      </c>
      <c r="G5" s="22">
        <f t="shared" si="0"/>
        <v>203000</v>
      </c>
      <c r="H5" s="22">
        <f t="shared" si="1"/>
        <v>18238.489373546847</v>
      </c>
      <c r="I5" s="22">
        <f t="shared" si="3"/>
        <v>184761.51062645315</v>
      </c>
    </row>
    <row r="6" spans="1:9" ht="15.75" customHeight="1" x14ac:dyDescent="0.25">
      <c r="A6" s="7">
        <f t="shared" si="2"/>
        <v>2021</v>
      </c>
      <c r="B6" s="77">
        <v>15459.888000000001</v>
      </c>
      <c r="C6" s="78">
        <v>36000</v>
      </c>
      <c r="D6" s="78">
        <v>73000</v>
      </c>
      <c r="E6" s="78">
        <v>46000</v>
      </c>
      <c r="F6" s="78">
        <v>48000</v>
      </c>
      <c r="G6" s="22">
        <f t="shared" si="0"/>
        <v>203000</v>
      </c>
      <c r="H6" s="22">
        <f t="shared" si="1"/>
        <v>18080.97904649629</v>
      </c>
      <c r="I6" s="22">
        <f t="shared" si="3"/>
        <v>184919.0209535037</v>
      </c>
    </row>
    <row r="7" spans="1:9" ht="15.75" customHeight="1" x14ac:dyDescent="0.25">
      <c r="A7" s="7">
        <f t="shared" si="2"/>
        <v>2022</v>
      </c>
      <c r="B7" s="77">
        <v>15323.0622</v>
      </c>
      <c r="C7" s="78">
        <v>35000</v>
      </c>
      <c r="D7" s="78">
        <v>73000</v>
      </c>
      <c r="E7" s="78">
        <v>48000</v>
      </c>
      <c r="F7" s="78">
        <v>49000</v>
      </c>
      <c r="G7" s="22">
        <f t="shared" si="0"/>
        <v>205000</v>
      </c>
      <c r="H7" s="22">
        <f t="shared" si="1"/>
        <v>17920.955608886645</v>
      </c>
      <c r="I7" s="22">
        <f t="shared" si="3"/>
        <v>187079.04439111336</v>
      </c>
    </row>
    <row r="8" spans="1:9" ht="15.75" customHeight="1" x14ac:dyDescent="0.25">
      <c r="A8" s="7">
        <f t="shared" si="2"/>
        <v>2023</v>
      </c>
      <c r="B8" s="77">
        <v>15184.087600000001</v>
      </c>
      <c r="C8" s="78">
        <v>35000</v>
      </c>
      <c r="D8" s="78">
        <v>72000</v>
      </c>
      <c r="E8" s="78">
        <v>49000</v>
      </c>
      <c r="F8" s="78">
        <v>49000</v>
      </c>
      <c r="G8" s="22">
        <f t="shared" si="0"/>
        <v>205000</v>
      </c>
      <c r="H8" s="22">
        <f t="shared" si="1"/>
        <v>17758.419060717912</v>
      </c>
      <c r="I8" s="22">
        <f t="shared" si="3"/>
        <v>187241.58093928208</v>
      </c>
    </row>
    <row r="9" spans="1:9" ht="15.75" customHeight="1" x14ac:dyDescent="0.25">
      <c r="A9" s="7">
        <f t="shared" si="2"/>
        <v>2024</v>
      </c>
      <c r="B9" s="77">
        <v>15042.964200000002</v>
      </c>
      <c r="C9" s="78">
        <v>34000</v>
      </c>
      <c r="D9" s="78">
        <v>70000</v>
      </c>
      <c r="E9" s="78">
        <v>51000</v>
      </c>
      <c r="F9" s="78">
        <v>48000</v>
      </c>
      <c r="G9" s="22">
        <f t="shared" si="0"/>
        <v>203000</v>
      </c>
      <c r="H9" s="22">
        <f t="shared" si="1"/>
        <v>17593.369401990094</v>
      </c>
      <c r="I9" s="22">
        <f t="shared" si="3"/>
        <v>185406.63059800991</v>
      </c>
    </row>
    <row r="10" spans="1:9" ht="15.75" customHeight="1" x14ac:dyDescent="0.25">
      <c r="A10" s="7">
        <f t="shared" si="2"/>
        <v>2025</v>
      </c>
      <c r="B10" s="77">
        <v>14899.691999999999</v>
      </c>
      <c r="C10" s="78">
        <v>34000</v>
      </c>
      <c r="D10" s="78">
        <v>69000</v>
      </c>
      <c r="E10" s="78">
        <v>53000</v>
      </c>
      <c r="F10" s="78">
        <v>47000</v>
      </c>
      <c r="G10" s="22">
        <f t="shared" si="0"/>
        <v>203000</v>
      </c>
      <c r="H10" s="22">
        <f t="shared" si="1"/>
        <v>17425.806632703185</v>
      </c>
      <c r="I10" s="22">
        <f t="shared" si="3"/>
        <v>185574.19336729683</v>
      </c>
    </row>
    <row r="11" spans="1:9" ht="15.75" customHeight="1" x14ac:dyDescent="0.25">
      <c r="A11" s="7">
        <f t="shared" si="2"/>
        <v>2026</v>
      </c>
      <c r="B11" s="77">
        <v>14735.679199999999</v>
      </c>
      <c r="C11" s="78">
        <v>33000</v>
      </c>
      <c r="D11" s="78">
        <v>68000</v>
      </c>
      <c r="E11" s="78">
        <v>55000</v>
      </c>
      <c r="F11" s="78">
        <v>46000</v>
      </c>
      <c r="G11" s="22">
        <f t="shared" si="0"/>
        <v>202000</v>
      </c>
      <c r="H11" s="22">
        <f t="shared" si="1"/>
        <v>17233.986873067333</v>
      </c>
      <c r="I11" s="22">
        <f t="shared" si="3"/>
        <v>184766.01312693267</v>
      </c>
    </row>
    <row r="12" spans="1:9" ht="15.75" customHeight="1" x14ac:dyDescent="0.25">
      <c r="A12" s="7">
        <f t="shared" si="2"/>
        <v>2027</v>
      </c>
      <c r="B12" s="77">
        <v>14570.051199999998</v>
      </c>
      <c r="C12" s="78">
        <v>33000</v>
      </c>
      <c r="D12" s="78">
        <v>67000</v>
      </c>
      <c r="E12" s="78">
        <v>58000</v>
      </c>
      <c r="F12" s="78">
        <v>45000</v>
      </c>
      <c r="G12" s="22">
        <f t="shared" si="0"/>
        <v>203000</v>
      </c>
      <c r="H12" s="22">
        <f t="shared" si="1"/>
        <v>17040.278070163124</v>
      </c>
      <c r="I12" s="22">
        <f t="shared" si="3"/>
        <v>185959.72192983687</v>
      </c>
    </row>
    <row r="13" spans="1:9" ht="15.75" customHeight="1" x14ac:dyDescent="0.25">
      <c r="A13" s="7">
        <f t="shared" si="2"/>
        <v>2028</v>
      </c>
      <c r="B13" s="77">
        <v>14402.807999999995</v>
      </c>
      <c r="C13" s="78">
        <v>34000</v>
      </c>
      <c r="D13" s="78">
        <v>65000</v>
      </c>
      <c r="E13" s="78">
        <v>61000</v>
      </c>
      <c r="F13" s="78">
        <v>44000</v>
      </c>
      <c r="G13" s="22">
        <f t="shared" si="0"/>
        <v>204000</v>
      </c>
      <c r="H13" s="22">
        <f t="shared" si="1"/>
        <v>16844.680223990563</v>
      </c>
      <c r="I13" s="22">
        <f t="shared" si="3"/>
        <v>187155.31977600945</v>
      </c>
    </row>
    <row r="14" spans="1:9" ht="15.75" customHeight="1" x14ac:dyDescent="0.25">
      <c r="A14" s="7">
        <f t="shared" si="2"/>
        <v>2029</v>
      </c>
      <c r="B14" s="77">
        <v>14233.949599999996</v>
      </c>
      <c r="C14" s="78">
        <v>34000</v>
      </c>
      <c r="D14" s="78">
        <v>65000</v>
      </c>
      <c r="E14" s="78">
        <v>62000</v>
      </c>
      <c r="F14" s="78">
        <v>42000</v>
      </c>
      <c r="G14" s="22">
        <f t="shared" si="0"/>
        <v>203000</v>
      </c>
      <c r="H14" s="22">
        <f t="shared" si="1"/>
        <v>16647.193334549651</v>
      </c>
      <c r="I14" s="22">
        <f t="shared" si="3"/>
        <v>186352.80666545033</v>
      </c>
    </row>
    <row r="15" spans="1:9" ht="15.75" customHeight="1" x14ac:dyDescent="0.25">
      <c r="A15" s="7">
        <f t="shared" si="2"/>
        <v>2030</v>
      </c>
      <c r="B15" s="77">
        <v>14046.45</v>
      </c>
      <c r="C15" s="78">
        <v>34000</v>
      </c>
      <c r="D15" s="78">
        <v>63000</v>
      </c>
      <c r="E15" s="78">
        <v>64000</v>
      </c>
      <c r="F15" s="78">
        <v>43000</v>
      </c>
      <c r="G15" s="22">
        <f t="shared" si="0"/>
        <v>204000</v>
      </c>
      <c r="H15" s="22">
        <f t="shared" si="1"/>
        <v>16427.904789973756</v>
      </c>
      <c r="I15" s="22">
        <f t="shared" si="3"/>
        <v>187572.09521002625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128.64955393691025</v>
      </c>
      <c r="I17" s="22">
        <f t="shared" si="4"/>
        <v>-128.64955393691025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2.814860525E-2</v>
      </c>
    </row>
    <row r="4" spans="1:8" ht="15.75" customHeight="1" x14ac:dyDescent="0.25">
      <c r="B4" s="24" t="s">
        <v>7</v>
      </c>
      <c r="C4" s="79">
        <v>0.25160249547358704</v>
      </c>
    </row>
    <row r="5" spans="1:8" ht="15.75" customHeight="1" x14ac:dyDescent="0.25">
      <c r="B5" s="24" t="s">
        <v>8</v>
      </c>
      <c r="C5" s="79">
        <v>6.2141064858799673E-2</v>
      </c>
    </row>
    <row r="6" spans="1:8" ht="15.75" customHeight="1" x14ac:dyDescent="0.25">
      <c r="B6" s="24" t="s">
        <v>10</v>
      </c>
      <c r="C6" s="79">
        <v>0.132634299566256</v>
      </c>
    </row>
    <row r="7" spans="1:8" ht="15.75" customHeight="1" x14ac:dyDescent="0.25">
      <c r="B7" s="24" t="s">
        <v>13</v>
      </c>
      <c r="C7" s="79">
        <v>0.22679234307932028</v>
      </c>
    </row>
    <row r="8" spans="1:8" ht="15.75" customHeight="1" x14ac:dyDescent="0.25">
      <c r="B8" s="24" t="s">
        <v>14</v>
      </c>
      <c r="C8" s="79">
        <v>1.2062136517387812E-4</v>
      </c>
    </row>
    <row r="9" spans="1:8" ht="15.75" customHeight="1" x14ac:dyDescent="0.25">
      <c r="B9" s="24" t="s">
        <v>27</v>
      </c>
      <c r="C9" s="79">
        <v>0.10345317144235493</v>
      </c>
    </row>
    <row r="10" spans="1:8" ht="15.75" customHeight="1" x14ac:dyDescent="0.25">
      <c r="B10" s="24" t="s">
        <v>15</v>
      </c>
      <c r="C10" s="79">
        <v>0.19510739896450824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0.150675283774449</v>
      </c>
      <c r="D14" s="79">
        <v>0.150675283774449</v>
      </c>
      <c r="E14" s="79">
        <v>7.6947007419571195E-2</v>
      </c>
      <c r="F14" s="79">
        <v>7.6947007419571195E-2</v>
      </c>
    </row>
    <row r="15" spans="1:8" ht="15.75" customHeight="1" x14ac:dyDescent="0.25">
      <c r="B15" s="24" t="s">
        <v>16</v>
      </c>
      <c r="C15" s="79">
        <v>0.19453298998489602</v>
      </c>
      <c r="D15" s="79">
        <v>0.19453298998489602</v>
      </c>
      <c r="E15" s="79">
        <v>0.117351025845485</v>
      </c>
      <c r="F15" s="79">
        <v>0.117351025845485</v>
      </c>
    </row>
    <row r="16" spans="1:8" ht="15.75" customHeight="1" x14ac:dyDescent="0.25">
      <c r="B16" s="24" t="s">
        <v>17</v>
      </c>
      <c r="C16" s="79">
        <v>1.7313936132997601E-2</v>
      </c>
      <c r="D16" s="79">
        <v>1.7313936132997601E-2</v>
      </c>
      <c r="E16" s="79">
        <v>1.53663905917717E-2</v>
      </c>
      <c r="F16" s="79">
        <v>1.53663905917717E-2</v>
      </c>
    </row>
    <row r="17" spans="1:8" ht="15.75" customHeight="1" x14ac:dyDescent="0.25">
      <c r="B17" s="24" t="s">
        <v>18</v>
      </c>
      <c r="C17" s="79">
        <v>1.8436843742898899E-4</v>
      </c>
      <c r="D17" s="79">
        <v>1.8436843742898899E-4</v>
      </c>
      <c r="E17" s="79">
        <v>5.1286662108896602E-4</v>
      </c>
      <c r="F17" s="79">
        <v>5.1286662108896602E-4</v>
      </c>
    </row>
    <row r="18" spans="1:8" ht="15.75" customHeight="1" x14ac:dyDescent="0.25">
      <c r="B18" s="24" t="s">
        <v>19</v>
      </c>
      <c r="C18" s="79">
        <v>2.6852929426413401E-3</v>
      </c>
      <c r="D18" s="79">
        <v>2.6852929426413401E-3</v>
      </c>
      <c r="E18" s="79">
        <v>8.6450773172393799E-3</v>
      </c>
      <c r="F18" s="79">
        <v>8.6450773172393799E-3</v>
      </c>
    </row>
    <row r="19" spans="1:8" ht="15.75" customHeight="1" x14ac:dyDescent="0.25">
      <c r="B19" s="24" t="s">
        <v>20</v>
      </c>
      <c r="C19" s="79">
        <v>1.9022242835321499E-3</v>
      </c>
      <c r="D19" s="79">
        <v>1.9022242835321499E-3</v>
      </c>
      <c r="E19" s="79">
        <v>1.2032742181731599E-3</v>
      </c>
      <c r="F19" s="79">
        <v>1.2032742181731599E-3</v>
      </c>
    </row>
    <row r="20" spans="1:8" ht="15.75" customHeight="1" x14ac:dyDescent="0.25">
      <c r="B20" s="24" t="s">
        <v>21</v>
      </c>
      <c r="C20" s="79">
        <v>3.5024283588147798E-2</v>
      </c>
      <c r="D20" s="79">
        <v>3.5024283588147798E-2</v>
      </c>
      <c r="E20" s="79">
        <v>3.7541117111889198E-2</v>
      </c>
      <c r="F20" s="79">
        <v>3.7541117111889198E-2</v>
      </c>
    </row>
    <row r="21" spans="1:8" ht="15.75" customHeight="1" x14ac:dyDescent="0.25">
      <c r="B21" s="24" t="s">
        <v>22</v>
      </c>
      <c r="C21" s="79">
        <v>9.2637861029058202E-2</v>
      </c>
      <c r="D21" s="79">
        <v>9.2637861029058202E-2</v>
      </c>
      <c r="E21" s="79">
        <v>0.23825325125456001</v>
      </c>
      <c r="F21" s="79">
        <v>0.23825325125456001</v>
      </c>
    </row>
    <row r="22" spans="1:8" ht="15.75" customHeight="1" x14ac:dyDescent="0.25">
      <c r="B22" s="24" t="s">
        <v>23</v>
      </c>
      <c r="C22" s="79">
        <v>0.5050437598268489</v>
      </c>
      <c r="D22" s="79">
        <v>0.5050437598268489</v>
      </c>
      <c r="E22" s="79">
        <v>0.50417998962022148</v>
      </c>
      <c r="F22" s="79">
        <v>0.50417998962022148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5.6900000000000006E-2</v>
      </c>
    </row>
    <row r="27" spans="1:8" ht="15.75" customHeight="1" x14ac:dyDescent="0.25">
      <c r="B27" s="24" t="s">
        <v>39</v>
      </c>
      <c r="C27" s="79">
        <v>0.1479</v>
      </c>
    </row>
    <row r="28" spans="1:8" ht="15.75" customHeight="1" x14ac:dyDescent="0.25">
      <c r="B28" s="24" t="s">
        <v>40</v>
      </c>
      <c r="C28" s="79">
        <v>0.14150000000000001</v>
      </c>
    </row>
    <row r="29" spans="1:8" ht="15.75" customHeight="1" x14ac:dyDescent="0.25">
      <c r="B29" s="24" t="s">
        <v>41</v>
      </c>
      <c r="C29" s="79">
        <v>0.128</v>
      </c>
    </row>
    <row r="30" spans="1:8" ht="15.75" customHeight="1" x14ac:dyDescent="0.25">
      <c r="B30" s="24" t="s">
        <v>42</v>
      </c>
      <c r="C30" s="79">
        <v>5.0799999999999998E-2</v>
      </c>
    </row>
    <row r="31" spans="1:8" ht="15.75" customHeight="1" x14ac:dyDescent="0.25">
      <c r="B31" s="24" t="s">
        <v>43</v>
      </c>
      <c r="C31" s="79">
        <v>0.1424</v>
      </c>
    </row>
    <row r="32" spans="1:8" ht="15.75" customHeight="1" x14ac:dyDescent="0.25">
      <c r="B32" s="24" t="s">
        <v>44</v>
      </c>
      <c r="C32" s="79">
        <v>2.5699999999999997E-2</v>
      </c>
    </row>
    <row r="33" spans="2:3" ht="15.75" customHeight="1" x14ac:dyDescent="0.25">
      <c r="B33" s="24" t="s">
        <v>45</v>
      </c>
      <c r="C33" s="79">
        <v>0.1082</v>
      </c>
    </row>
    <row r="34" spans="2:3" ht="15.75" customHeight="1" x14ac:dyDescent="0.25">
      <c r="B34" s="24" t="s">
        <v>46</v>
      </c>
      <c r="C34" s="79">
        <v>0.19860000000223518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0.74260727754398492</v>
      </c>
      <c r="D2" s="80">
        <v>0.74260727754398492</v>
      </c>
      <c r="E2" s="80">
        <v>0.7196428840617608</v>
      </c>
      <c r="F2" s="80">
        <v>0.61970551166812893</v>
      </c>
      <c r="G2" s="80">
        <v>0.6482080670849566</v>
      </c>
    </row>
    <row r="3" spans="1:15" ht="15.75" customHeight="1" x14ac:dyDescent="0.25">
      <c r="A3" s="5"/>
      <c r="B3" s="11" t="s">
        <v>118</v>
      </c>
      <c r="C3" s="80">
        <v>0.15611630266549684</v>
      </c>
      <c r="D3" s="80">
        <v>0.15611630266549684</v>
      </c>
      <c r="E3" s="80">
        <v>0.16665414157219724</v>
      </c>
      <c r="F3" s="80">
        <v>0.24950500142448406</v>
      </c>
      <c r="G3" s="80">
        <v>0.22100244600765639</v>
      </c>
    </row>
    <row r="4" spans="1:15" ht="15.75" customHeight="1" x14ac:dyDescent="0.25">
      <c r="A4" s="5"/>
      <c r="B4" s="11" t="s">
        <v>116</v>
      </c>
      <c r="C4" s="81">
        <v>6.7103394707828029E-2</v>
      </c>
      <c r="D4" s="81">
        <v>6.7103394707828029E-2</v>
      </c>
      <c r="E4" s="81">
        <v>6.7724722436604198E-2</v>
      </c>
      <c r="F4" s="81">
        <v>8.481123497794929E-2</v>
      </c>
      <c r="G4" s="81">
        <v>8.481123497794929E-2</v>
      </c>
    </row>
    <row r="5" spans="1:15" ht="15.75" customHeight="1" x14ac:dyDescent="0.25">
      <c r="A5" s="5"/>
      <c r="B5" s="11" t="s">
        <v>119</v>
      </c>
      <c r="C5" s="81">
        <v>3.4173025082690191E-2</v>
      </c>
      <c r="D5" s="81">
        <v>3.4173025082690191E-2</v>
      </c>
      <c r="E5" s="81">
        <v>4.5978251929437712E-2</v>
      </c>
      <c r="F5" s="81">
        <v>4.5978251929437712E-2</v>
      </c>
      <c r="G5" s="81">
        <v>4.5978251929437712E-2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0.72050914673139166</v>
      </c>
      <c r="D8" s="80">
        <v>0.72050914673139166</v>
      </c>
      <c r="E8" s="80">
        <v>0.72918020769305858</v>
      </c>
      <c r="F8" s="80">
        <v>0.83221906653643085</v>
      </c>
      <c r="G8" s="80">
        <v>0.73079874811538459</v>
      </c>
    </row>
    <row r="9" spans="1:15" ht="15.75" customHeight="1" x14ac:dyDescent="0.25">
      <c r="B9" s="7" t="s">
        <v>121</v>
      </c>
      <c r="C9" s="80">
        <v>0.21363348126860843</v>
      </c>
      <c r="D9" s="80">
        <v>0.21363348126860843</v>
      </c>
      <c r="E9" s="80">
        <v>0.19304770930694143</v>
      </c>
      <c r="F9" s="80">
        <v>0.11275869846356916</v>
      </c>
      <c r="G9" s="80">
        <v>0.20366522488461539</v>
      </c>
    </row>
    <row r="10" spans="1:15" ht="15.75" customHeight="1" x14ac:dyDescent="0.25">
      <c r="B10" s="7" t="s">
        <v>122</v>
      </c>
      <c r="C10" s="81">
        <v>4.6376989E-2</v>
      </c>
      <c r="D10" s="81">
        <v>4.6376989E-2</v>
      </c>
      <c r="E10" s="81">
        <v>5.7681287999999997E-2</v>
      </c>
      <c r="F10" s="81">
        <v>3.7876310000000003E-2</v>
      </c>
      <c r="G10" s="81">
        <v>4.9103685999999994E-2</v>
      </c>
    </row>
    <row r="11" spans="1:15" ht="15.75" customHeight="1" x14ac:dyDescent="0.25">
      <c r="B11" s="7" t="s">
        <v>123</v>
      </c>
      <c r="C11" s="81">
        <v>1.9480383E-2</v>
      </c>
      <c r="D11" s="81">
        <v>1.9480383E-2</v>
      </c>
      <c r="E11" s="81">
        <v>2.0090794999999998E-2</v>
      </c>
      <c r="F11" s="81">
        <v>1.7145924999999999E-2</v>
      </c>
      <c r="G11" s="81">
        <v>1.6432341000000003E-2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0.60847067900000007</v>
      </c>
      <c r="D14" s="82">
        <v>0.58133804313699999</v>
      </c>
      <c r="E14" s="82">
        <v>0.58133804313699999</v>
      </c>
      <c r="F14" s="82">
        <v>0.34640304007799999</v>
      </c>
      <c r="G14" s="82">
        <v>0.34640304007799999</v>
      </c>
      <c r="H14" s="83">
        <v>0.29100000000000004</v>
      </c>
      <c r="I14" s="83">
        <v>0.34191176470588241</v>
      </c>
      <c r="J14" s="83">
        <v>0.35594919786096257</v>
      </c>
      <c r="K14" s="83">
        <v>0.36798128342245995</v>
      </c>
      <c r="L14" s="83">
        <v>0.25895171244600002</v>
      </c>
      <c r="M14" s="83">
        <v>0.28537344765100003</v>
      </c>
      <c r="N14" s="83">
        <v>0.243461120812</v>
      </c>
      <c r="O14" s="83">
        <v>0.34473308889650001</v>
      </c>
    </row>
    <row r="15" spans="1:15" ht="15.75" customHeight="1" x14ac:dyDescent="0.25">
      <c r="B15" s="16" t="s">
        <v>68</v>
      </c>
      <c r="C15" s="80">
        <f>iron_deficiency_anaemia*C14</f>
        <v>0.28794062733778492</v>
      </c>
      <c r="D15" s="80">
        <f t="shared" ref="D15:O15" si="0">iron_deficiency_anaemia*D14</f>
        <v>0.27510091548090521</v>
      </c>
      <c r="E15" s="80">
        <f t="shared" si="0"/>
        <v>0.27510091548090521</v>
      </c>
      <c r="F15" s="80">
        <f t="shared" si="0"/>
        <v>0.1639249221272257</v>
      </c>
      <c r="G15" s="80">
        <f t="shared" si="0"/>
        <v>0.1639249221272257</v>
      </c>
      <c r="H15" s="80">
        <f t="shared" si="0"/>
        <v>0.13770708342594665</v>
      </c>
      <c r="I15" s="80">
        <f t="shared" si="0"/>
        <v>0.16179955981672023</v>
      </c>
      <c r="J15" s="80">
        <f t="shared" si="0"/>
        <v>0.16844235699394625</v>
      </c>
      <c r="K15" s="80">
        <f t="shared" si="0"/>
        <v>0.1741361831458543</v>
      </c>
      <c r="L15" s="80">
        <f t="shared" si="0"/>
        <v>0.12254118580444352</v>
      </c>
      <c r="M15" s="80">
        <f t="shared" si="0"/>
        <v>0.13504448509699751</v>
      </c>
      <c r="N15" s="80">
        <f t="shared" si="0"/>
        <v>0.11521072465509469</v>
      </c>
      <c r="O15" s="80">
        <f t="shared" si="0"/>
        <v>0.16313466746513608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0.33200000000000002</v>
      </c>
      <c r="D2" s="81">
        <v>0.33200000000000002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0.191</v>
      </c>
      <c r="D3" s="81">
        <v>0.13100000000000001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0.33200000000000002</v>
      </c>
      <c r="D4" s="81">
        <v>0.33200000000000002</v>
      </c>
      <c r="E4" s="81">
        <v>0.66400000000000003</v>
      </c>
      <c r="F4" s="81">
        <v>0.64800000000000002</v>
      </c>
      <c r="G4" s="81">
        <v>0</v>
      </c>
    </row>
    <row r="5" spans="1:7" x14ac:dyDescent="0.25">
      <c r="B5" s="43" t="s">
        <v>169</v>
      </c>
      <c r="C5" s="80">
        <f>1-SUM(C2:C4)</f>
        <v>0.14500000000000002</v>
      </c>
      <c r="D5" s="80">
        <f>1-SUM(D2:D4)</f>
        <v>0.20499999999999996</v>
      </c>
      <c r="E5" s="80">
        <f>1-SUM(E2:E4)</f>
        <v>0.33599999999999997</v>
      </c>
      <c r="F5" s="80">
        <f>1-SUM(F2:F4)</f>
        <v>0.35199999999999998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0.13356000000000001</v>
      </c>
      <c r="D2" s="144">
        <v>0.13113</v>
      </c>
      <c r="E2" s="144">
        <v>0.12878999999999999</v>
      </c>
      <c r="F2" s="144">
        <v>0.12651999999999999</v>
      </c>
      <c r="G2" s="144">
        <v>0.12433</v>
      </c>
      <c r="H2" s="144">
        <v>0.1222</v>
      </c>
      <c r="I2" s="144">
        <v>0.12012</v>
      </c>
      <c r="J2" s="144">
        <v>0.11806</v>
      </c>
      <c r="K2" s="144">
        <v>0.11605</v>
      </c>
      <c r="L2" s="144">
        <v>0.11408</v>
      </c>
      <c r="M2" s="144">
        <v>0.11215</v>
      </c>
      <c r="N2" s="144">
        <v>0.11026999999999999</v>
      </c>
      <c r="O2" s="144">
        <v>0.10843</v>
      </c>
      <c r="P2" s="144">
        <v>0.10663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6.1559999999999997E-2</v>
      </c>
      <c r="D4" s="144">
        <v>5.9900000000000002E-2</v>
      </c>
      <c r="E4" s="144">
        <v>5.8250000000000003E-2</v>
      </c>
      <c r="F4" s="144">
        <v>5.6619999999999997E-2</v>
      </c>
      <c r="G4" s="144">
        <v>5.4960000000000002E-2</v>
      </c>
      <c r="H4" s="144">
        <v>5.3310000000000003E-2</v>
      </c>
      <c r="I4" s="144">
        <v>5.1699999999999996E-2</v>
      </c>
      <c r="J4" s="144">
        <v>5.0160000000000003E-2</v>
      </c>
      <c r="K4" s="144">
        <v>4.8689999999999997E-2</v>
      </c>
      <c r="L4" s="144">
        <v>4.7279999999999996E-2</v>
      </c>
      <c r="M4" s="144">
        <v>4.5929999999999999E-2</v>
      </c>
      <c r="N4" s="144">
        <v>4.462E-2</v>
      </c>
      <c r="O4" s="144">
        <v>4.3339999999999997E-2</v>
      </c>
      <c r="P4" s="144">
        <v>4.2110000000000002E-2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0.18637411599557627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0.16378046904842689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0.13561727717698571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0.33200000000000002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0.65333333333333332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24.797999999999998</v>
      </c>
      <c r="D13" s="143">
        <v>23.608000000000001</v>
      </c>
      <c r="E13" s="143">
        <v>22.558</v>
      </c>
      <c r="F13" s="143">
        <v>21.645</v>
      </c>
      <c r="G13" s="143">
        <v>20.835000000000001</v>
      </c>
      <c r="H13" s="143">
        <v>20.081</v>
      </c>
      <c r="I13" s="143">
        <v>19.398</v>
      </c>
      <c r="J13" s="143">
        <v>18.774999999999999</v>
      </c>
      <c r="K13" s="143">
        <v>18.167999999999999</v>
      </c>
      <c r="L13" s="143">
        <v>17.602</v>
      </c>
      <c r="M13" s="143">
        <v>17.103000000000002</v>
      </c>
      <c r="N13" s="143">
        <v>16.635000000000002</v>
      </c>
      <c r="O13" s="143">
        <v>16.193000000000001</v>
      </c>
      <c r="P13" s="143">
        <v>15.781000000000001</v>
      </c>
    </row>
    <row r="14" spans="1:16" x14ac:dyDescent="0.25">
      <c r="B14" s="16" t="s">
        <v>170</v>
      </c>
      <c r="C14" s="143">
        <f>maternal_mortality</f>
        <v>2.29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0.127</v>
      </c>
      <c r="E2" s="92">
        <f>food_insecure</f>
        <v>0.127</v>
      </c>
      <c r="F2" s="92">
        <f>food_insecure</f>
        <v>0.127</v>
      </c>
      <c r="G2" s="92">
        <f>food_insecure</f>
        <v>0.127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0.127</v>
      </c>
      <c r="F5" s="92">
        <f>food_insecure</f>
        <v>0.127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6.2042897083173079E-2</v>
      </c>
      <c r="D7" s="92">
        <f>diarrhoea_1_5mo/26</f>
        <v>5.2657839220769227E-2</v>
      </c>
      <c r="E7" s="92">
        <f>diarrhoea_6_11mo/26</f>
        <v>5.2657839220769227E-2</v>
      </c>
      <c r="F7" s="92">
        <f>diarrhoea_12_23mo/26</f>
        <v>4.3353455088461543E-2</v>
      </c>
      <c r="G7" s="92">
        <f>diarrhoea_24_59mo/26</f>
        <v>4.3353455088461543E-2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0.127</v>
      </c>
      <c r="F8" s="92">
        <f>food_insecure</f>
        <v>0.127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0.83599999999999997</v>
      </c>
      <c r="E9" s="92">
        <f>IF(ISBLANK(comm_deliv), frac_children_health_facility,1)</f>
        <v>0.83599999999999997</v>
      </c>
      <c r="F9" s="92">
        <f>IF(ISBLANK(comm_deliv), frac_children_health_facility,1)</f>
        <v>0.83599999999999997</v>
      </c>
      <c r="G9" s="92">
        <f>IF(ISBLANK(comm_deliv), frac_children_health_facility,1)</f>
        <v>0.83599999999999997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6.2042897083173079E-2</v>
      </c>
      <c r="D11" s="92">
        <f>diarrhoea_1_5mo/26</f>
        <v>5.2657839220769227E-2</v>
      </c>
      <c r="E11" s="92">
        <f>diarrhoea_6_11mo/26</f>
        <v>5.2657839220769227E-2</v>
      </c>
      <c r="F11" s="92">
        <f>diarrhoea_12_23mo/26</f>
        <v>4.3353455088461543E-2</v>
      </c>
      <c r="G11" s="92">
        <f>diarrhoea_24_59mo/26</f>
        <v>4.3353455088461543E-2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0.127</v>
      </c>
      <c r="I14" s="92">
        <f>food_insecure</f>
        <v>0.127</v>
      </c>
      <c r="J14" s="92">
        <f>food_insecure</f>
        <v>0.127</v>
      </c>
      <c r="K14" s="92">
        <f>food_insecure</f>
        <v>0.127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0.86699999999999999</v>
      </c>
      <c r="I17" s="92">
        <f>frac_PW_health_facility</f>
        <v>0.86699999999999999</v>
      </c>
      <c r="J17" s="92">
        <f>frac_PW_health_facility</f>
        <v>0.86699999999999999</v>
      </c>
      <c r="K17" s="92">
        <f>frac_PW_health_facility</f>
        <v>0.86699999999999999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0.47499999999999998</v>
      </c>
      <c r="M23" s="92">
        <f>famplan_unmet_need</f>
        <v>0.47499999999999998</v>
      </c>
      <c r="N23" s="92">
        <f>famplan_unmet_need</f>
        <v>0.47499999999999998</v>
      </c>
      <c r="O23" s="92">
        <f>famplan_unmet_need</f>
        <v>0.47499999999999998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7.3022643402862547E-2</v>
      </c>
      <c r="M24" s="92">
        <f>(1-food_insecure)*(0.49)+food_insecure*(0.7)</f>
        <v>0.51666999999999996</v>
      </c>
      <c r="N24" s="92">
        <f>(1-food_insecure)*(0.49)+food_insecure*(0.7)</f>
        <v>0.51666999999999996</v>
      </c>
      <c r="O24" s="92">
        <f>(1-food_insecure)*(0.49)+food_insecure*(0.7)</f>
        <v>0.51666999999999996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3.129541860122681E-2</v>
      </c>
      <c r="M25" s="92">
        <f>(1-food_insecure)*(0.21)+food_insecure*(0.3)</f>
        <v>0.22142999999999999</v>
      </c>
      <c r="N25" s="92">
        <f>(1-food_insecure)*(0.21)+food_insecure*(0.3)</f>
        <v>0.22142999999999999</v>
      </c>
      <c r="O25" s="92">
        <f>(1-food_insecure)*(0.21)+food_insecure*(0.3)</f>
        <v>0.22142999999999999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3.701517469024658E-2</v>
      </c>
      <c r="M26" s="92">
        <f>(1-food_insecure)*(0.3)</f>
        <v>0.26189999999999997</v>
      </c>
      <c r="N26" s="92">
        <f>(1-food_insecure)*(0.3)</f>
        <v>0.26189999999999997</v>
      </c>
      <c r="O26" s="92">
        <f>(1-food_insecure)*(0.3)</f>
        <v>0.26189999999999997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0.85866676330566405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2020-03-24T06:49:21Z</dcterms:modified>
</cp:coreProperties>
</file>