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DD52CC72-620D-40F0-B8F6-9CD8EDBC2B8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38" i="2"/>
  <c r="I24" i="2"/>
  <c r="I22" i="2"/>
  <c r="I20" i="2"/>
  <c r="I29" i="2"/>
  <c r="I3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8" i="51" l="1"/>
  <c r="C7" i="51"/>
  <c r="C6" i="51"/>
  <c r="I15" i="2"/>
  <c r="I12" i="2"/>
  <c r="I11" i="2"/>
  <c r="I10" i="2"/>
  <c r="I9" i="2"/>
  <c r="I8" i="2"/>
  <c r="I7" i="2"/>
  <c r="I6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0864164B-0807-48B2-860A-D76AC96645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30C95F9-F454-4BE5-BFAE-4B5C6FD2515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65CED228-BDBC-41BC-A5F3-C2E9D7FFA9FA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C13282D2-02EF-4EE3-953B-49D0B64916E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9B0F77D3-E2D0-4E21-ABD9-9E3B89BF7CC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9D45A1D7-3DD8-4B97-9971-3A78D55D3006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296DFA15-4817-461B-B75A-CDB80E87141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BBC569A7-9BD6-4258-AF95-F490F1BA614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66F85760-FD6E-4F36-88BC-CCF137ADEC0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F6F21E87-2E18-4135-9DA5-F89A93C6C5F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4E31B1A9-E06A-4C77-A64C-37AEED5B3D2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197EBC74-7F9A-45D2-B709-9A4C245EEF3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D6B633B9-D8EF-4AB2-AB5C-CFB7AB436F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6C3DBC98-FAFC-4BCE-9E37-120CA40A4D1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A25D3415-BCC9-4F32-ADB3-4CB07473DC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364EEDA-7F0D-43F0-8FA4-41472BAA66A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70C8B30-A1D6-452C-9289-5CFE31A3E6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44326B2-A4D0-4885-AF87-C8EF990BEB8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89B769F-A53C-420F-8550-8C300BB440B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EBD2FABA-D05B-467D-8E83-9E852FA22FB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41678253-E653-47D0-AFC2-25A45AE57AE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700944C2-1E4C-444D-B658-311A5B9EBEC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3CB706A6-5B7D-47A9-8D0A-200F9899942F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77F12571-7772-44AE-981C-603E7896C7B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C65CE9B7-7A2B-49C5-BF5B-F6314AFD9F73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86C3B4FB-A99B-4CFA-8358-54BA61D6F4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2800942E-4FE3-425D-BCDA-5DC6D6706F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45C66D08-ADDD-4CD6-8F5D-F4FA104EC8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F2444845-5F27-416D-A204-FB6B682EF1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8DC93BCB-4C64-47E8-AB6C-B84C84C87D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4025BB95-DA0D-40B2-B79A-BD1AA5EBAA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04A0B3C1-64AC-4ACD-AF7F-6A0E04A59D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43F67839-66B6-47E0-9475-ABB539DB8F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3180ADBC-0293-45A1-A32A-1AF7467FDDE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0A28A0C-D4F6-43BA-91FB-C8DC1107E21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F22514D-DA42-4653-952C-DA8CFB116E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563D453D-AA37-45E5-8AB8-E08018114B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F32EE43D-FE97-4277-88D3-D30319A754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1B53D634-C416-462B-AA25-B7DF06BAD8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523A4654-3F50-4837-939C-C0DC3D295F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C4EE17CA-639C-4AD0-9582-1F43DA49F1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2031CBB-9EE8-44FB-9BE9-972F20B5E9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BCAF411-FFD0-4C32-92CC-ECCAA31684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7826FAE-B98E-479D-A52F-721272E93C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266BC9B5-C4FA-4287-9FC8-C43FD05B0E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B1059186-EE93-491D-A1E2-5A234225EE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39BCF114-CCFB-4427-8CE5-2EFB6C3D12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4CAD7508-BBBB-4FF9-98E8-9DF799E6C7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A8FF944E-C3E9-427D-9AE2-CECE2375B9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50211D1-BCF2-4B9A-A41B-B4D613F79F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9BB0C87D-AB0A-495C-B29D-52F39E4A8F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8B7D0B26-FE3E-4F5E-A47D-3899E2AFCD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269C3D4-CA71-4F5C-97B2-783F040C50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2E3D3DA-DCD8-4F9E-B1B0-A6256F7228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075EF2DE-19A0-4287-8F29-4792C1B704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96DAD457-006B-4025-B66F-4EC8AC3774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247FCFE2-0230-4C58-9B30-4469A7014B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C35E20DA-3E13-4639-8227-76A546E994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75BF1E91-78EB-4258-A41E-85DFC683A7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8790DB3D-CD8F-448E-A02F-773C7C8FB3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5DF2D309-C91A-4CD3-B39B-71EEC370B7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0A45B4B7-90BC-402F-975C-A14812A976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E5175E67-DB6E-4F82-BF43-E2FCEE39A7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7C05AEA6-136B-45EA-9AB0-84F4FB4EA1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B8DB33F6-9AE7-4E31-A4A3-A42B39BA1B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E046FB7-91F0-466F-83C2-9E3B21ACAE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E3CDDC1-9DC3-4B30-987B-F4D9F4D6F8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12B21F07-6280-411F-855F-5681086A08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36BA30F1-4EB9-4D84-9851-DE7A19274B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169C6604-9B2C-4F91-A4C4-644B6D9F92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CA0800C1-34BB-4070-B271-DF1DAF4D46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5B22A491-42FB-43D4-B418-893479E251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93CA4DAF-7B4E-475A-B2B3-B28A30DD6F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CDA527CC-6264-47DD-8B0F-9ADCBD3DE4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E34906FA-98AC-4C2E-952C-3E58C30761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06F68337-4A97-4051-89DC-505501A0C8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93B96368-E5D3-4E70-A52D-2BE2E7C8ED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580EA325-F5C1-414D-942B-40DE49FA68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434B712C-F357-4F6B-9931-168DF6D48B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83FE983F-025D-48A5-8A13-7B941C7B03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2E393238-FD38-4035-9581-698B7D9A1C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BCF74E49-EECD-486B-9A02-C9133A16D9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79CBCC3-1F41-4100-8DB9-54DD95631B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32C0DD12-DB82-4AEE-85D0-1FF54B7C05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4AD7C49D-FAA9-4F77-BE38-81BC6D5C41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DBB4F3DA-2BEE-4827-8B2F-D28D168090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CA45EEBC-E3CD-432B-831E-35CCB66F90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9D887C20-04F0-4232-976A-E0BAFA5589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E548AF6D-A305-44FB-B420-B52F148ADC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EBC7B94A-F178-4F62-A5BE-B044CBE9AD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610C63BE-1CA4-4ED5-8809-C8911BDB32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4FC676E1-AC51-4924-A20E-D90D674EED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C33E2414-9BB4-4840-BA33-9396B7A64A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A6E2646-8CB5-4506-A5CA-E9AE174E6C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1A1CCD8F-4E06-413B-83A7-41E142C071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E3FE5A4C-DE0C-4B9A-A978-1ED5E7B7C2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247DFB94-6955-4F56-B599-F10565C2FE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A942C28C-3D46-4659-ACC8-BE1D29EB01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8E147D97-B35E-42CE-8DD3-910FCF6897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4F39A13-0DCD-41FD-92BE-AE6D394041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6BB03779-1183-48EA-BCA6-59FD148E2B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53535160-0A1C-4749-8C03-59F557B216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0BF18812-619A-463D-91FE-C6CA96722D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CEBE7B6B-A45A-420A-990E-2E951697FA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486A1FDC-B638-46E9-B146-C3B68C94A1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547681A6-C466-47A0-B6AC-D237F22C4B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5F6E8EE-F954-4748-9844-490008ECC2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9CB60B69-F49F-4F3C-B81C-5297E1E3A4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828E1B19-FCF5-44EA-9254-07725AA411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FFC60C19-A8AA-489D-AC54-0BB3F12ACB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02F4F3A-6A25-44EE-9742-7E41D6C4DA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3C502DE-AD92-4596-A9E2-D95C9FB918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BA38C8FB-C1FE-4CC3-9B27-1F729CC762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6C90B1F6-5AB8-4166-864D-582519A986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AB7CBEB4-9387-498C-AE7B-8519985C7EB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9222BE9-0C6F-4DBA-8821-F372AE7E6DD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8362DC23-59DE-4AF7-908E-99024EA05E5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332B980F-7683-445C-A6BC-B28FB6BA07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3F9F6822-60E6-4568-880E-2C55895F34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7B2D1639-FD4D-4F41-9D8B-538C24FEEE1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EE2BBB03-161C-496A-91B2-C0611E743CC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FDE6976-A92D-44AA-93FD-00EDB7F3C2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A12D78C6-3102-4E0F-9CE4-1164FB9C6A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D7BEDF93-5BDA-4C50-B188-0C98DA72BB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3A76D528-19FE-4331-B005-9372F2EBDE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FB242F72-17F8-4633-9D5A-9C43CABE37C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67461B6B-F4A8-4463-A4B0-2DE3D1A742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F7A05BAB-32AE-4B27-9DF3-75004FD518A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7ECB6512-A568-46B1-880A-E087A31428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F94646FC-AF7C-4822-9AC7-8382DA8A721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AFD479E9-87BF-40D7-8686-2112B64EFDB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82FB27D5-E913-4654-9BCE-B0794BBAC7E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0FA5903E-B7FC-4AE7-AE9D-A937E29992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A6AB1FE-EC60-47A5-8491-1671F6461B9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6DE66139-96C2-4C4A-9C01-5A6B9962AE1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7C67275-4400-4D8F-A0CA-211E796CC5A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1D102A70-E684-4F80-ACA1-B5885B51081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918610D9-C3BD-41D1-96FD-7D42BDD703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20CC334F-70F4-4765-8EA4-4EDCA65387D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4C6AC507-C541-43A6-ADD4-EAFB2E0E6F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BCA5AC23-FE34-4831-84CE-41CD3E130F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ADA40598-43CB-41D5-BEC6-9943FB1A50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285EAF6-B967-4008-A6F5-6870477BA2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1B780E2C-5B48-4480-A119-537059EF065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6509CCD2-C8A6-403D-AA7A-145923E7985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D452FC48-56A6-4A86-943A-11466D85785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0AEC0AA2-7A6D-4478-97DB-C570145D2F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A604DB4B-38D9-4809-9A1E-39F148CBD1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EA7AFAB3-75A8-4422-A927-47806787B66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9674A90A-0B81-4EE2-8C0B-BD2E44CAF4A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6565E85E-8191-4CB2-BECD-8B266FC895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7073F951-6FD3-4545-9695-1BBB5E88DF9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8BD456B-4613-4AB3-BA72-159B0C23213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D6AD325-D04A-4F59-9730-D9D8A16F87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339F5CB1-99D2-459E-A41E-32E72AAE3A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AA58FC4-78CE-4D7A-AB86-16C4D6078F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AC3AFA57-2DE9-4688-BC05-7D2812B63D5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814B9339-02B1-49E8-A7F7-4A19FBD54F0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E5740A8-BEFF-4AE9-8F54-B4DEF83A55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EA863A3F-1550-4D9E-AEF5-42F3A0233F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90766876-E6FF-442D-91AD-5B79A01FBF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F180D5B3-B812-4D86-B21A-FBB430CDF6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51C304EB-707A-4593-9BC2-6AE30045B2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874F4C79-0E9B-48C5-828D-5632A3D4CA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CC695132-3AAF-47A7-B989-F417621B7E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CC134BF7-0BAA-4D30-82A8-1F466081F8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C45B47B0-8177-4870-9D9E-7E7B734889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7B0E0E36-50DE-425C-BCF6-417A21164F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664C1655-A0DB-45E1-8E4B-3B3DD7ED49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17667B4D-0F34-4F14-A37E-56E322B100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D66CD828-7EBF-4062-B3A3-FEFAF5BEF7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1BFADF74-5663-4CBE-8815-8F18FA0F8E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5FC4D61D-237C-475C-989E-5F4A9AEC00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7BAB1ED5-2EF5-49A2-81E4-CB5BD8DB45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AEA1CD7-1A0B-48F7-95EB-BF33E942E7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B85495F0-616C-439F-BEB4-D5DFDECB43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162B8CB-8119-4CBA-B670-6CBDCA3301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4C2EEF49-D947-4176-BE05-867C799E51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833EB747-B8A3-4FCE-AF83-31C9A96E6C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61D878E3-33FE-4902-8646-63B5548075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983C0CD1-1EA6-439C-87F2-B09E702843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7E82C67B-DD3E-4153-9F53-2B0D63A1ADA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CC2A4C1B-428A-46A1-A524-BC734E9136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E08EE93C-2EB9-4374-834D-B92FDE517C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70556594-B014-44FC-B944-ED566A20AC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07126FA9-78AC-478C-BFF3-13B15C497B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0C2195FA-5A25-4856-803A-A0BFD61E84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506DE439-A2E3-466A-928A-1C7763F0EA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DB105E74-4332-48E1-8893-15AF647C3F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BD5B02A5-CB84-4B83-ACCD-0BF340C93D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D9CD7AE5-CDE1-4E35-85D8-A81EAFFFAB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A193FFD6-83E1-4DDF-83BB-0BF39AB9CE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8F6D4B92-BDC0-465F-8FAE-EF5212E009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C486C244-8238-4DB4-9884-39525F1B08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E8A86623-022C-472F-AE03-54E13A1188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56768CF0-504B-4542-B5A1-4BBC96A76D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C1A215A2-5B0A-4525-AC61-A170F9CCB7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B77BCF95-1C9D-422D-B12E-0FD23D8103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B9D93CC3-8B59-45E3-84F7-39ADAB0AF6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3900E2DB-49C7-41E7-BE28-7CE7D66D13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651F3CD-9357-40AB-89E1-DCD44F32473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46CD6D0-FDB0-40B8-AEAC-1A78A3514C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42CD7A24-02B0-495D-92FB-155197BBEAE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812B6678-D89A-41C1-99D6-6C7AEEABC5C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7AFB9009-546E-421B-A2EC-F9FDBD9BCF4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E96E3C6-E78F-4B73-B494-B813BF08D79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7D93DFCE-6BAD-46B2-A723-17991482626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39A1417D-1DBA-4777-8136-E55B0152C3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1E5DACB-1ED8-45CB-AD79-63658C1F7D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B80312D5-BDAC-46D2-9DFE-7D35C6BF1F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EA89EF41-9B62-49E9-9715-73606571C1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18FFAB4E-EA5B-4696-BCA2-CF16C8A8C9B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926938D3-FB04-47D4-9817-991A38F2B0A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4424C0CD-2FB4-48A2-9FD2-FC199C51716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D4BB35BE-334E-4D13-A9D7-C9EAF33C2A1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77661DB7-CFA7-4392-B1D3-B5A6C70CF6F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3D5F57D9-C30D-4D2D-B77E-C7B6E0F18A5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A5803350-3FAE-4904-B799-13EEC9EC704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56F7BE8C-497F-4A21-B8C2-7E33547461D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67617FA-37A7-498F-82F4-C9CDCA03FB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C353707E-98F0-4BFA-B659-00AEC45BDB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5ED852D5-5A4E-48E5-8BA4-2A31D39668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FC5DB157-5D33-494F-BF1C-D6C6909A9A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D62DDA7B-1B68-4293-87F6-F219C9CB12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F2D3B248-3236-4F0C-999B-A72F8EDE61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85D498A8-98BA-451F-8B30-66353CB27B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9663C72B-2860-45F3-B124-F68FC2E783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BDAD6437-9051-4FBD-9A58-D12CC0AFF4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077B1A0E-D3C6-48A6-BCEE-ED62FA8BAF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0D4D1128-4278-4E58-893D-7CFC2E2CAB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5F940639-2685-47E8-88D4-9F7FF01F2E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B9090249-2AD4-4566-9542-F65C1CB1AB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13865672-ADDB-484B-9B96-CAE84B06E9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91879A4-692B-4255-8351-01F4C9B8D9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9DA2C6A0-A7E5-463D-BCFA-8E14C94E09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CEDE2E55-7845-4B1F-ADA5-F2EDCCFC8F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6C9F10C0-65EF-4B13-8A6A-80004C5711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0692503A-737B-4F71-B4D7-DAC818DE8F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F373699C-25E8-4164-858C-9F4AA24FE3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EB1B4AD5-B770-42BE-B5FB-5CD93B1980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79276AC1-8874-48B5-8227-DF40A03AC3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A1342D65-EC0D-4D16-9488-AE54DEF189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D8F1B02E-65DA-43F4-9A0F-818A6B7EF6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6530C1C6-9B9A-4C9A-97DC-8D74E8A41D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D0014EBA-198C-482F-8537-EB4FC0BC30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B8213317-21D1-4E01-AAB7-4D3F8D6BD5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42FB77FA-8AB2-4722-A274-0C2E984B2C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E93F2BD-57A3-4400-A6C3-A3B3A7A033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DE97B30C-924F-468D-ACB1-753771C3C2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DCDFD68-DED9-4A78-9DFF-545DF0CE58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F8B66550-0EC7-4B05-AF2D-04A0C62B56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C8B33670-6DED-4C0A-801D-ECFCCD2240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89B75705-B8E7-4E95-ADDA-59977FB428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B579A08B-62FE-41DA-83AD-9E3FE8BE01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36C339CB-7BA5-41A9-85DD-924E523922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D6248379-6DEB-431D-B7ED-1ADFF1BA59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C27737B2-6E8B-49AD-8F87-77D27B70FB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64C9280D-9F35-41FF-8961-0446D3D512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E450F538-7764-4B8B-BBCC-447B104045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6CF239B7-E3F6-4B28-B48E-C074D0453F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803C4741-D47B-4AF6-8A3E-8115E447AA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0B97DB31-BB40-4BB4-845C-473A9CEC512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FF8AB4C-8D8A-41D8-8F22-926AEC0641F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C574E503-3A38-492C-AAC8-5A7827B8652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535E0F9C-0CE4-4B97-8C91-724E2A86FEA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CB752B55-DA15-47E1-A32E-F0C22C40D3FC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8912627F-3597-4A5C-8B73-65C3CF8D054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B327AA7-4689-431F-9D47-4AB69C8B071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71DE271-6C03-42CD-9A5C-83F1A291BE6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EEF283EE-1AEC-448D-BBAB-10812AA0797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98E407A-F969-4146-8CC4-2036DF52543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6BA71FF7-31A2-4670-BBDF-EDB05A89C48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BE2DD13C-02BD-44FC-B0FC-EA7903DF694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DC622ABB-721E-4AD3-B850-6B723528705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70A537C5-1AA8-4FBB-A247-0B47443976B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45185670-0DCC-4508-92E0-3F5B0A07BF8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CAC7D828-8E65-4561-AD6B-B59273E01E3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2BE8A376-E839-4F42-B51B-BB31C714F71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9B3B376A-61D6-475B-A3A0-8E0CCA6A38F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EAC61A15-F05C-40C0-BE8B-A6A2D7DC991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B417DDBA-AE49-4603-8B2A-1445B8CFDCB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83407FF-650B-4DED-9291-B8F15D642DB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076F9F7D-043D-4FB0-862F-75F8DC7BF69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4A875395-E1A2-4CD7-B80A-D96E566DAC4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1266DFD0-1D97-46FF-93B7-DC5C075B0AB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9426DDC-B369-4501-AEB7-E6C921BDB72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25BAF180-2A72-42A4-A713-7691B5B0C11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5BAA2AB8-5E6D-4AFB-B37F-2DF971CE66EA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46973D4C-EE17-441D-AD7C-364A47A22EA9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9583C68A-9557-4885-B9BA-9FF4AB701C6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13632538-EEE1-4454-89D6-10E262F2B7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4889F58A-0D04-4DC4-8F01-31697AB50B6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02AC09CA-F88C-4911-8F5C-F9A14925DE3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BC6D4079-4675-44D7-8D43-580F0F77E8A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FFB6467A-685A-426F-8ED2-4B925C57E9C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8A9006EB-0E4A-415A-81D4-93CD778618B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4CADAD65-507F-488F-A691-F4ECA7F4D71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44366F91-196D-49A6-AA93-C0158EB0E2A9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0E55912-95A0-4AC4-A712-37A3370ACEC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E9C5662C-4653-4C81-B22A-C2A7BDE6C8E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87F47132-3051-49E6-90A4-51A74E4C537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745CECD2-B7A6-4980-8456-7BBA18CC5AA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0FF16251-81B0-4F5D-A09F-F15FC62E945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920D5D48-9EEE-4256-827A-375630764C36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F56608F1-9BA8-40AD-892C-A3B93933820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C3B60BB3-80A1-4DB4-9420-A230B5FCDBD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C0FD5B67-1C86-4CB6-8D62-53D600932E9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D1C1775B-5C70-41EC-A558-EB0A980031A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6483DA19-82AF-4492-B605-7C6DEDDB138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2F4B3A9E-F581-4D0C-85DE-BE228C5944D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46DBA79F-8795-4446-8983-0E8AD0BF941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66223F70-F7BD-4786-8E11-E8EBC443B1A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77258650-FC82-4712-B139-3125F7569F6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1E4B1998-8009-46C0-B2CE-6038F2F9E23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1F69BE41-2956-4BDD-AAC0-7309194B675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5B4782D5-3A6E-4D47-862E-C6F2AE52316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593D5AA1-2EB1-4F53-96EA-A82C88348BA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1FF48C1-489F-4859-A84D-4F6586C1045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245F3C98-DB29-4D93-8344-D50C25392A6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92A66B24-F71D-40F4-AB2D-FE8C1DD8AA7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815D33B-BF53-4016-AFD7-C35556F68B7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8327D346-C438-4DB2-998D-A4DFA24E8DA3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BFF9F85D-5E28-40E9-AC62-7FE8E8A519F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<sst xmlns="http://schemas.openxmlformats.org/spreadsheetml/2006/main" count="1102" uniqueCount="271">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</sst>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953105</v>
      </c>
    </row>
    <row r="8" spans="1:3" ht="15" customHeight="1" x14ac:dyDescent="0.25">
      <c r="B8" s="7" t="s">
        <v>106</v>
      </c>
      <c r="C8" s="70">
        <v>0.498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0.48369369506835902</v>
      </c>
    </row>
    <row r="11" spans="1:3" ht="15" customHeight="1" x14ac:dyDescent="0.25">
      <c r="B11" s="7" t="s">
        <v>108</v>
      </c>
      <c r="C11" s="70">
        <v>0.88900000000000001</v>
      </c>
    </row>
    <row r="12" spans="1:3" ht="15" customHeight="1" x14ac:dyDescent="0.25">
      <c r="B12" s="7" t="s">
        <v>109</v>
      </c>
      <c r="C12" s="70">
        <v>0.63900000000000001</v>
      </c>
    </row>
    <row r="13" spans="1:3" ht="15" customHeight="1" x14ac:dyDescent="0.25">
      <c r="B13" s="7" t="s">
        <v>110</v>
      </c>
      <c r="C13" s="70">
        <v>0.24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0.14679999999999999</v>
      </c>
    </row>
    <row r="24" spans="1:3" ht="15" customHeight="1" x14ac:dyDescent="0.25">
      <c r="B24" s="20" t="s">
        <v>102</v>
      </c>
      <c r="C24" s="71">
        <v>0.50009999999999999</v>
      </c>
    </row>
    <row r="25" spans="1:3" ht="15" customHeight="1" x14ac:dyDescent="0.25">
      <c r="B25" s="20" t="s">
        <v>103</v>
      </c>
      <c r="C25" s="71">
        <v>0.28990000000000005</v>
      </c>
    </row>
    <row r="26" spans="1:3" ht="15" customHeight="1" x14ac:dyDescent="0.25">
      <c r="B26" s="20" t="s">
        <v>104</v>
      </c>
      <c r="C26" s="71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0.29699999999999999</v>
      </c>
    </row>
    <row r="30" spans="1:3" ht="14.25" customHeight="1" x14ac:dyDescent="0.25">
      <c r="B30" s="30" t="s">
        <v>76</v>
      </c>
      <c r="C30" s="73">
        <v>5.4000000000000006E-2</v>
      </c>
    </row>
    <row r="31" spans="1:3" ht="14.25" customHeight="1" x14ac:dyDescent="0.25">
      <c r="B31" s="30" t="s">
        <v>77</v>
      </c>
      <c r="C31" s="73">
        <v>0.109</v>
      </c>
    </row>
    <row r="32" spans="1:3" ht="14.25" customHeight="1" x14ac:dyDescent="0.25">
      <c r="B32" s="30" t="s">
        <v>78</v>
      </c>
      <c r="C32" s="73">
        <v>0.53999999998509884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</v>
      </c>
    </row>
    <row r="38" spans="1:5" ht="15" customHeight="1" x14ac:dyDescent="0.25">
      <c r="B38" s="16" t="s">
        <v>91</v>
      </c>
      <c r="C38" s="75">
        <v>15.6</v>
      </c>
      <c r="D38" s="17"/>
      <c r="E38" s="18"/>
    </row>
    <row r="39" spans="1:5" ht="15" customHeight="1" x14ac:dyDescent="0.25">
      <c r="B39" s="16" t="s">
        <v>90</v>
      </c>
      <c r="C39" s="75">
        <v>18.2</v>
      </c>
      <c r="D39" s="17"/>
      <c r="E39" s="17"/>
    </row>
    <row r="40" spans="1:5" ht="15" customHeight="1" x14ac:dyDescent="0.25">
      <c r="B40" s="16" t="s">
        <v>171</v>
      </c>
      <c r="C40" s="75">
        <v>1.29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2.53E-2</v>
      </c>
      <c r="D45" s="17"/>
    </row>
    <row r="46" spans="1:5" ht="15.75" customHeight="1" x14ac:dyDescent="0.25">
      <c r="B46" s="16" t="s">
        <v>11</v>
      </c>
      <c r="C46" s="71">
        <v>9.6199999999999994E-2</v>
      </c>
      <c r="D46" s="17"/>
    </row>
    <row r="47" spans="1:5" ht="15.75" customHeight="1" x14ac:dyDescent="0.25">
      <c r="B47" s="16" t="s">
        <v>12</v>
      </c>
      <c r="C47" s="71">
        <v>0.13699999999999998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6.638379278704992</v>
      </c>
      <c r="D51" s="17"/>
    </row>
    <row r="52" spans="1:4" ht="15" customHeight="1" x14ac:dyDescent="0.25">
      <c r="B52" s="16" t="s">
        <v>125</v>
      </c>
      <c r="C52" s="76">
        <v>5.4873426170100004</v>
      </c>
    </row>
    <row r="53" spans="1:4" ht="15.75" customHeight="1" x14ac:dyDescent="0.25">
      <c r="B53" s="16" t="s">
        <v>126</v>
      </c>
      <c r="C53" s="76">
        <v>5.4873426170100004</v>
      </c>
    </row>
    <row r="54" spans="1:4" ht="15.75" customHeight="1" x14ac:dyDescent="0.25">
      <c r="B54" s="16" t="s">
        <v>127</v>
      </c>
      <c r="C54" s="76">
        <v>2.6336713681699999</v>
      </c>
    </row>
    <row r="55" spans="1:4" ht="15.75" customHeight="1" x14ac:dyDescent="0.25">
      <c r="B55" s="16" t="s">
        <v>128</v>
      </c>
      <c r="C55" s="76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0.55396246385524683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46.657462083638059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42.717327128317891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236.11602045293372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0.97263747145843082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1.294528570328457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1.294528570328457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1.294528570328457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1.294528570328457</v>
      </c>
      <c r="E13" s="86" t="s">
        <v>202</v>
      </c>
    </row>
    <row r="14" spans="1:5" ht="15.75" customHeight="1" x14ac:dyDescent="0.25">
      <c r="A14" s="11" t="s">
        <v>187</v>
      </c>
      <c r="B14" s="85">
        <v>0.374</v>
      </c>
      <c r="C14" s="85">
        <v>0.95</v>
      </c>
      <c r="D14" s="86">
        <v>13.735039028338484</v>
      </c>
      <c r="E14" s="86" t="s">
        <v>202</v>
      </c>
    </row>
    <row r="15" spans="1:5" ht="15.75" customHeight="1" x14ac:dyDescent="0.25">
      <c r="A15" s="11" t="s">
        <v>209</v>
      </c>
      <c r="B15" s="85">
        <v>0.374</v>
      </c>
      <c r="C15" s="85">
        <v>0.95</v>
      </c>
      <c r="D15" s="86">
        <v>13.735039028338484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0.47428176618855961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0.68200000000000005</v>
      </c>
      <c r="C18" s="85">
        <v>0.95</v>
      </c>
      <c r="D18" s="87">
        <v>5.4969809474092575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5.4969809474092575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5.4969809474092575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8.8005415971440346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23.544341700323425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4.5831213765060985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19.732801874256193</v>
      </c>
      <c r="E24" s="86" t="s">
        <v>202</v>
      </c>
    </row>
    <row r="25" spans="1:5" ht="15.75" customHeight="1" x14ac:dyDescent="0.25">
      <c r="A25" s="52" t="s">
        <v>87</v>
      </c>
      <c r="B25" s="85">
        <v>0.59899999999999998</v>
      </c>
      <c r="C25" s="85">
        <v>0.95</v>
      </c>
      <c r="D25" s="86">
        <v>19.733897555781887</v>
      </c>
      <c r="E25" s="86" t="s">
        <v>202</v>
      </c>
    </row>
    <row r="26" spans="1:5" ht="15.75" customHeight="1" x14ac:dyDescent="0.25">
      <c r="A26" s="52" t="s">
        <v>137</v>
      </c>
      <c r="B26" s="85">
        <v>0.374</v>
      </c>
      <c r="C26" s="85">
        <v>0.95</v>
      </c>
      <c r="D26" s="86">
        <v>4.951930466374372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5.5815355702994207</v>
      </c>
      <c r="E27" s="86" t="s">
        <v>202</v>
      </c>
    </row>
    <row r="28" spans="1:5" ht="15.75" customHeight="1" x14ac:dyDescent="0.25">
      <c r="A28" s="52" t="s">
        <v>84</v>
      </c>
      <c r="B28" s="85">
        <v>0.59699999999999998</v>
      </c>
      <c r="C28" s="85">
        <v>0.95</v>
      </c>
      <c r="D28" s="86">
        <v>2.442881149509299</v>
      </c>
      <c r="E28" s="86" t="s">
        <v>202</v>
      </c>
    </row>
    <row r="29" spans="1:5" ht="15.75" customHeight="1" x14ac:dyDescent="0.25">
      <c r="A29" s="52" t="s">
        <v>58</v>
      </c>
      <c r="B29" s="85">
        <v>0.68200000000000005</v>
      </c>
      <c r="C29" s="85">
        <v>0.95</v>
      </c>
      <c r="D29" s="86">
        <v>87.693263589511574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0.2992427386952129</v>
      </c>
      <c r="E30" s="86" t="s">
        <v>202</v>
      </c>
    </row>
    <row r="31" spans="1:5" ht="15.75" customHeight="1" x14ac:dyDescent="0.25">
      <c r="A31" s="52" t="s">
        <v>28</v>
      </c>
      <c r="B31" s="85">
        <v>0.57499999999999996</v>
      </c>
      <c r="C31" s="85">
        <v>0.95</v>
      </c>
      <c r="D31" s="86">
        <v>0.98736889208471235</v>
      </c>
      <c r="E31" s="86" t="s">
        <v>202</v>
      </c>
    </row>
    <row r="32" spans="1:5" ht="15.75" customHeight="1" x14ac:dyDescent="0.25">
      <c r="A32" s="52" t="s">
        <v>83</v>
      </c>
      <c r="B32" s="85">
        <v>0.8859999999999999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0.44900000000000001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0.82599999999999996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0.91200000000000003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0.90300000000000002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4.0000000000000001E-3</v>
      </c>
      <c r="C37" s="85">
        <v>0.95</v>
      </c>
      <c r="D37" s="86">
        <v>6.3501454073226729</v>
      </c>
      <c r="E37" s="86" t="s">
        <v>202</v>
      </c>
    </row>
    <row r="38" spans="1:6" ht="15.75" customHeight="1" x14ac:dyDescent="0.25">
      <c r="A38" s="52" t="s">
        <v>60</v>
      </c>
      <c r="B38" s="85">
        <v>4.0000000000000001E-3</v>
      </c>
      <c r="C38" s="85">
        <v>0.95</v>
      </c>
      <c r="D38" s="86">
        <v>1.0101570062356633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5.5088979400000002E-2</v>
      </c>
      <c r="C3" s="26">
        <f>frac_mam_1_5months * 2.6</f>
        <v>5.5088979400000002E-2</v>
      </c>
      <c r="D3" s="26">
        <f>frac_mam_6_11months * 2.6</f>
        <v>2.8869411739999996E-2</v>
      </c>
      <c r="E3" s="26">
        <f>frac_mam_12_23months * 2.6</f>
        <v>3.1152388539999999E-2</v>
      </c>
      <c r="F3" s="26">
        <f>frac_mam_24_59months * 2.6</f>
        <v>2.1342973903333333E-2</v>
      </c>
    </row>
    <row r="4" spans="1:6" ht="15.75" customHeight="1" x14ac:dyDescent="0.25">
      <c r="A4" s="3" t="s">
        <v>66</v>
      </c>
      <c r="B4" s="26">
        <f>frac_sam_1month * 2.6</f>
        <v>2.9698996600000003E-2</v>
      </c>
      <c r="C4" s="26">
        <f>frac_sam_1_5months * 2.6</f>
        <v>2.9698996600000003E-2</v>
      </c>
      <c r="D4" s="26">
        <f>frac_sam_6_11months * 2.6</f>
        <v>1.1262737460000002E-2</v>
      </c>
      <c r="E4" s="26">
        <f>frac_sam_12_23months * 2.6</f>
        <v>1.0473411260000001E-2</v>
      </c>
      <c r="F4" s="26">
        <f>frac_sam_24_59months * 2.6</f>
        <v>1.9927474233333337E-3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198439.20500599997</v>
      </c>
      <c r="C2" s="78">
        <v>488928</v>
      </c>
      <c r="D2" s="78">
        <v>879252</v>
      </c>
      <c r="E2" s="78">
        <v>688529</v>
      </c>
      <c r="F2" s="78">
        <v>483183</v>
      </c>
      <c r="G2" s="22">
        <f t="shared" ref="G2:G40" si="0">C2+D2+E2+F2</f>
        <v>2539892</v>
      </c>
      <c r="H2" s="22">
        <f t="shared" ref="H2:H40" si="1">(B2 + stillbirth*B2/(1000-stillbirth))/(1-abortion)</f>
        <v>231001.66116749198</v>
      </c>
      <c r="I2" s="22">
        <f>G2-H2</f>
        <v>2308890.3388325078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198905.87400000001</v>
      </c>
      <c r="C3" s="78">
        <v>492000</v>
      </c>
      <c r="D3" s="78">
        <v>895000</v>
      </c>
      <c r="E3" s="78">
        <v>706000</v>
      </c>
      <c r="F3" s="78">
        <v>500000</v>
      </c>
      <c r="G3" s="22">
        <f t="shared" si="0"/>
        <v>2593000</v>
      </c>
      <c r="H3" s="22">
        <f t="shared" si="1"/>
        <v>231544.90721015836</v>
      </c>
      <c r="I3" s="22">
        <f t="shared" ref="I3:I15" si="3">G3-H3</f>
        <v>2361455.0927898418</v>
      </c>
    </row>
    <row r="4" spans="1:9" ht="15.75" customHeight="1" x14ac:dyDescent="0.25">
      <c r="A4" s="7">
        <f t="shared" si="2"/>
        <v>2019</v>
      </c>
      <c r="B4" s="77">
        <v>199283.99400000001</v>
      </c>
      <c r="C4" s="78">
        <v>494000</v>
      </c>
      <c r="D4" s="78">
        <v>909000</v>
      </c>
      <c r="E4" s="78">
        <v>723000</v>
      </c>
      <c r="F4" s="78">
        <v>518000</v>
      </c>
      <c r="G4" s="22">
        <f t="shared" si="0"/>
        <v>2644000</v>
      </c>
      <c r="H4" s="22">
        <f t="shared" si="1"/>
        <v>231985.07400138295</v>
      </c>
      <c r="I4" s="22">
        <f t="shared" si="3"/>
        <v>2412014.925998617</v>
      </c>
    </row>
    <row r="5" spans="1:9" ht="15.75" customHeight="1" x14ac:dyDescent="0.25">
      <c r="A5" s="7">
        <f t="shared" si="2"/>
        <v>2020</v>
      </c>
      <c r="B5" s="77">
        <v>199531.07</v>
      </c>
      <c r="C5" s="78">
        <v>495000</v>
      </c>
      <c r="D5" s="78">
        <v>922000</v>
      </c>
      <c r="E5" s="78">
        <v>741000</v>
      </c>
      <c r="F5" s="78">
        <v>537000</v>
      </c>
      <c r="G5" s="22">
        <f t="shared" si="0"/>
        <v>2695000</v>
      </c>
      <c r="H5" s="22">
        <f t="shared" si="1"/>
        <v>232272.69340820779</v>
      </c>
      <c r="I5" s="22">
        <f t="shared" si="3"/>
        <v>2462727.306591792</v>
      </c>
    </row>
    <row r="6" spans="1:9" ht="15.75" customHeight="1" x14ac:dyDescent="0.25">
      <c r="A6" s="7">
        <f t="shared" si="2"/>
        <v>2021</v>
      </c>
      <c r="B6" s="77">
        <v>199375.51180000001</v>
      </c>
      <c r="C6" s="78">
        <v>494000</v>
      </c>
      <c r="D6" s="78">
        <v>934000</v>
      </c>
      <c r="E6" s="78">
        <v>759000</v>
      </c>
      <c r="F6" s="78">
        <v>555000</v>
      </c>
      <c r="G6" s="22">
        <f t="shared" si="0"/>
        <v>2742000</v>
      </c>
      <c r="H6" s="22">
        <f t="shared" si="1"/>
        <v>232091.60921868417</v>
      </c>
      <c r="I6" s="22">
        <f t="shared" si="3"/>
        <v>2509908.390781316</v>
      </c>
    </row>
    <row r="7" spans="1:9" ht="15.75" customHeight="1" x14ac:dyDescent="0.25">
      <c r="A7" s="7">
        <f t="shared" si="2"/>
        <v>2022</v>
      </c>
      <c r="B7" s="77">
        <v>199081.86480000001</v>
      </c>
      <c r="C7" s="78">
        <v>492000</v>
      </c>
      <c r="D7" s="78">
        <v>944000</v>
      </c>
      <c r="E7" s="78">
        <v>776000</v>
      </c>
      <c r="F7" s="78">
        <v>575000</v>
      </c>
      <c r="G7" s="22">
        <f t="shared" si="0"/>
        <v>2787000</v>
      </c>
      <c r="H7" s="22">
        <f t="shared" si="1"/>
        <v>231749.77684339928</v>
      </c>
      <c r="I7" s="22">
        <f t="shared" si="3"/>
        <v>2555250.2231566007</v>
      </c>
    </row>
    <row r="8" spans="1:9" ht="15.75" customHeight="1" x14ac:dyDescent="0.25">
      <c r="A8" s="7">
        <f t="shared" si="2"/>
        <v>2023</v>
      </c>
      <c r="B8" s="77">
        <v>198691.18900000004</v>
      </c>
      <c r="C8" s="78">
        <v>489000</v>
      </c>
      <c r="D8" s="78">
        <v>953000</v>
      </c>
      <c r="E8" s="78">
        <v>794000</v>
      </c>
      <c r="F8" s="78">
        <v>594000</v>
      </c>
      <c r="G8" s="22">
        <f t="shared" si="0"/>
        <v>2830000</v>
      </c>
      <c r="H8" s="22">
        <f t="shared" si="1"/>
        <v>231294.99393507626</v>
      </c>
      <c r="I8" s="22">
        <f t="shared" si="3"/>
        <v>2598705.0060649239</v>
      </c>
    </row>
    <row r="9" spans="1:9" ht="15.75" customHeight="1" x14ac:dyDescent="0.25">
      <c r="A9" s="7">
        <f t="shared" si="2"/>
        <v>2024</v>
      </c>
      <c r="B9" s="77">
        <v>198165.04680000001</v>
      </c>
      <c r="C9" s="78">
        <v>486000</v>
      </c>
      <c r="D9" s="78">
        <v>960000</v>
      </c>
      <c r="E9" s="78">
        <v>812000</v>
      </c>
      <c r="F9" s="78">
        <v>615000</v>
      </c>
      <c r="G9" s="22">
        <f t="shared" si="0"/>
        <v>2873000</v>
      </c>
      <c r="H9" s="22">
        <f t="shared" si="1"/>
        <v>230682.51555810103</v>
      </c>
      <c r="I9" s="22">
        <f t="shared" si="3"/>
        <v>2642317.4844418988</v>
      </c>
    </row>
    <row r="10" spans="1:9" ht="15.75" customHeight="1" x14ac:dyDescent="0.25">
      <c r="A10" s="7">
        <f t="shared" si="2"/>
        <v>2025</v>
      </c>
      <c r="B10" s="77">
        <v>197505.40499999997</v>
      </c>
      <c r="C10" s="78">
        <v>482000</v>
      </c>
      <c r="D10" s="78">
        <v>966000</v>
      </c>
      <c r="E10" s="78">
        <v>829000</v>
      </c>
      <c r="F10" s="78">
        <v>633000</v>
      </c>
      <c r="G10" s="22">
        <f t="shared" si="0"/>
        <v>2910000</v>
      </c>
      <c r="H10" s="22">
        <f t="shared" si="1"/>
        <v>229914.63125030554</v>
      </c>
      <c r="I10" s="22">
        <f t="shared" si="3"/>
        <v>2680085.3687496944</v>
      </c>
    </row>
    <row r="11" spans="1:9" ht="15.75" customHeight="1" x14ac:dyDescent="0.25">
      <c r="A11" s="7">
        <f t="shared" si="2"/>
        <v>2026</v>
      </c>
      <c r="B11" s="77">
        <v>196623.09619999997</v>
      </c>
      <c r="C11" s="78">
        <v>477000</v>
      </c>
      <c r="D11" s="78">
        <v>969000</v>
      </c>
      <c r="E11" s="78">
        <v>846000</v>
      </c>
      <c r="F11" s="78">
        <v>651000</v>
      </c>
      <c r="G11" s="22">
        <f t="shared" si="0"/>
        <v>2943000</v>
      </c>
      <c r="H11" s="22">
        <f t="shared" si="1"/>
        <v>228887.5418782405</v>
      </c>
      <c r="I11" s="22">
        <f t="shared" si="3"/>
        <v>2714112.4581217594</v>
      </c>
    </row>
    <row r="12" spans="1:9" ht="15.75" customHeight="1" x14ac:dyDescent="0.25">
      <c r="A12" s="7">
        <f t="shared" si="2"/>
        <v>2027</v>
      </c>
      <c r="B12" s="77">
        <v>195627.03159999996</v>
      </c>
      <c r="C12" s="78">
        <v>472000</v>
      </c>
      <c r="D12" s="78">
        <v>972000</v>
      </c>
      <c r="E12" s="78">
        <v>862000</v>
      </c>
      <c r="F12" s="78">
        <v>669000</v>
      </c>
      <c r="G12" s="22">
        <f t="shared" si="0"/>
        <v>2975000</v>
      </c>
      <c r="H12" s="22">
        <f t="shared" si="1"/>
        <v>227728.03019191232</v>
      </c>
      <c r="I12" s="22">
        <f t="shared" si="3"/>
        <v>2747271.9698080877</v>
      </c>
    </row>
    <row r="13" spans="1:9" ht="15.75" customHeight="1" x14ac:dyDescent="0.25">
      <c r="A13" s="7">
        <f t="shared" si="2"/>
        <v>2028</v>
      </c>
      <c r="B13" s="77">
        <v>194500.33859999993</v>
      </c>
      <c r="C13" s="78">
        <v>467000</v>
      </c>
      <c r="D13" s="78">
        <v>973000</v>
      </c>
      <c r="E13" s="78">
        <v>878000</v>
      </c>
      <c r="F13" s="78">
        <v>686000</v>
      </c>
      <c r="G13" s="22">
        <f t="shared" si="0"/>
        <v>3004000</v>
      </c>
      <c r="H13" s="22">
        <f t="shared" si="1"/>
        <v>226416.45491817585</v>
      </c>
      <c r="I13" s="22">
        <f t="shared" si="3"/>
        <v>2777583.5450818241</v>
      </c>
    </row>
    <row r="14" spans="1:9" ht="15.75" customHeight="1" x14ac:dyDescent="0.25">
      <c r="A14" s="7">
        <f t="shared" si="2"/>
        <v>2029</v>
      </c>
      <c r="B14" s="77">
        <v>193227.49019999994</v>
      </c>
      <c r="C14" s="78">
        <v>463000</v>
      </c>
      <c r="D14" s="78">
        <v>971000</v>
      </c>
      <c r="E14" s="78">
        <v>892000</v>
      </c>
      <c r="F14" s="78">
        <v>703000</v>
      </c>
      <c r="G14" s="22">
        <f t="shared" si="0"/>
        <v>3029000</v>
      </c>
      <c r="H14" s="22">
        <f t="shared" si="1"/>
        <v>224934.74118723493</v>
      </c>
      <c r="I14" s="22">
        <f t="shared" si="3"/>
        <v>2804065.2588127651</v>
      </c>
    </row>
    <row r="15" spans="1:9" ht="15.75" customHeight="1" x14ac:dyDescent="0.25">
      <c r="A15" s="7">
        <f t="shared" si="2"/>
        <v>2030</v>
      </c>
      <c r="B15" s="77">
        <v>191828.723</v>
      </c>
      <c r="C15" s="78">
        <v>461000</v>
      </c>
      <c r="D15" s="78">
        <v>967000</v>
      </c>
      <c r="E15" s="78">
        <v>905000</v>
      </c>
      <c r="F15" s="78">
        <v>721000</v>
      </c>
      <c r="G15" s="22">
        <f t="shared" si="0"/>
        <v>3054000</v>
      </c>
      <c r="H15" s="22">
        <f t="shared" si="1"/>
        <v>223306.44628060691</v>
      </c>
      <c r="I15" s="22">
        <f t="shared" si="3"/>
        <v>2830693.553719393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128.05021430949503</v>
      </c>
      <c r="I17" s="22">
        <f t="shared" si="4"/>
        <v>-128.05021430949503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3.41871895E-2</v>
      </c>
    </row>
    <row r="4" spans="1:8" ht="15.75" customHeight="1" x14ac:dyDescent="0.25">
      <c r="B4" s="24" t="s">
        <v>7</v>
      </c>
      <c r="C4" s="79">
        <v>0.19349175900733684</v>
      </c>
    </row>
    <row r="5" spans="1:8" ht="15.75" customHeight="1" x14ac:dyDescent="0.25">
      <c r="B5" s="24" t="s">
        <v>8</v>
      </c>
      <c r="C5" s="79">
        <v>4.9164214935151419E-2</v>
      </c>
    </row>
    <row r="6" spans="1:8" ht="15.75" customHeight="1" x14ac:dyDescent="0.25">
      <c r="B6" s="24" t="s">
        <v>10</v>
      </c>
      <c r="C6" s="79">
        <v>0.15182049170529449</v>
      </c>
    </row>
    <row r="7" spans="1:8" ht="15.75" customHeight="1" x14ac:dyDescent="0.25">
      <c r="B7" s="24" t="s">
        <v>13</v>
      </c>
      <c r="C7" s="79">
        <v>0.25392116106874296</v>
      </c>
    </row>
    <row r="8" spans="1:8" ht="15.75" customHeight="1" x14ac:dyDescent="0.25">
      <c r="B8" s="24" t="s">
        <v>14</v>
      </c>
      <c r="C8" s="79">
        <v>2.3296229925929596E-3</v>
      </c>
    </row>
    <row r="9" spans="1:8" ht="15.75" customHeight="1" x14ac:dyDescent="0.25">
      <c r="B9" s="24" t="s">
        <v>27</v>
      </c>
      <c r="C9" s="79">
        <v>0.10693806208062856</v>
      </c>
    </row>
    <row r="10" spans="1:8" ht="15.75" customHeight="1" x14ac:dyDescent="0.25">
      <c r="B10" s="24" t="s">
        <v>15</v>
      </c>
      <c r="C10" s="79">
        <v>0.20814749871025273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0.203750982007989</v>
      </c>
      <c r="D14" s="79">
        <v>0.203750982007989</v>
      </c>
      <c r="E14" s="79">
        <v>8.9297912856397807E-2</v>
      </c>
      <c r="F14" s="79">
        <v>8.9297912856397807E-2</v>
      </c>
    </row>
    <row r="15" spans="1:8" ht="15.75" customHeight="1" x14ac:dyDescent="0.25">
      <c r="B15" s="24" t="s">
        <v>16</v>
      </c>
      <c r="C15" s="79">
        <v>8.7371551558187793E-2</v>
      </c>
      <c r="D15" s="79">
        <v>8.7371551558187793E-2</v>
      </c>
      <c r="E15" s="79">
        <v>4.6656282017659E-2</v>
      </c>
      <c r="F15" s="79">
        <v>4.6656282017659E-2</v>
      </c>
    </row>
    <row r="16" spans="1:8" ht="15.75" customHeight="1" x14ac:dyDescent="0.25">
      <c r="B16" s="24" t="s">
        <v>17</v>
      </c>
      <c r="C16" s="79">
        <v>1.42339043311497E-2</v>
      </c>
      <c r="D16" s="79">
        <v>1.42339043311497E-2</v>
      </c>
      <c r="E16" s="79">
        <v>8.6553094641349006E-3</v>
      </c>
      <c r="F16" s="79">
        <v>8.6553094641349006E-3</v>
      </c>
    </row>
    <row r="17" spans="1:8" ht="15.75" customHeight="1" x14ac:dyDescent="0.25">
      <c r="B17" s="24" t="s">
        <v>18</v>
      </c>
      <c r="C17" s="79">
        <v>4.44443231968785E-8</v>
      </c>
      <c r="D17" s="79">
        <v>4.44443231968785E-8</v>
      </c>
      <c r="E17" s="79">
        <v>1.3898426614567901E-7</v>
      </c>
      <c r="F17" s="79">
        <v>1.3898426614567901E-7</v>
      </c>
    </row>
    <row r="18" spans="1:8" ht="15.75" customHeight="1" x14ac:dyDescent="0.25">
      <c r="B18" s="24" t="s">
        <v>19</v>
      </c>
      <c r="C18" s="79">
        <v>1.49231430655413E-3</v>
      </c>
      <c r="D18" s="79">
        <v>1.49231430655413E-3</v>
      </c>
      <c r="E18" s="79">
        <v>3.1168872896295101E-3</v>
      </c>
      <c r="F18" s="79">
        <v>3.1168872896295101E-3</v>
      </c>
    </row>
    <row r="19" spans="1:8" ht="15.75" customHeight="1" x14ac:dyDescent="0.25">
      <c r="B19" s="24" t="s">
        <v>20</v>
      </c>
      <c r="C19" s="79">
        <v>4.65214603956021E-2</v>
      </c>
      <c r="D19" s="79">
        <v>4.65214603956021E-2</v>
      </c>
      <c r="E19" s="79">
        <v>6.0106602073023298E-2</v>
      </c>
      <c r="F19" s="79">
        <v>6.0106602073023298E-2</v>
      </c>
    </row>
    <row r="20" spans="1:8" ht="15.75" customHeight="1" x14ac:dyDescent="0.25">
      <c r="B20" s="24" t="s">
        <v>21</v>
      </c>
      <c r="C20" s="79">
        <v>7.3804566157518504E-4</v>
      </c>
      <c r="D20" s="79">
        <v>7.3804566157518504E-4</v>
      </c>
      <c r="E20" s="79">
        <v>4.3994878237654297E-3</v>
      </c>
      <c r="F20" s="79">
        <v>4.3994878237654297E-3</v>
      </c>
    </row>
    <row r="21" spans="1:8" ht="15.75" customHeight="1" x14ac:dyDescent="0.25">
      <c r="B21" s="24" t="s">
        <v>22</v>
      </c>
      <c r="C21" s="79">
        <v>8.2269379593801498E-2</v>
      </c>
      <c r="D21" s="79">
        <v>8.2269379593801498E-2</v>
      </c>
      <c r="E21" s="79">
        <v>0.207340062839728</v>
      </c>
      <c r="F21" s="79">
        <v>0.207340062839728</v>
      </c>
    </row>
    <row r="22" spans="1:8" ht="15.75" customHeight="1" x14ac:dyDescent="0.25">
      <c r="B22" s="24" t="s">
        <v>23</v>
      </c>
      <c r="C22" s="79">
        <v>0.56362231770081739</v>
      </c>
      <c r="D22" s="79">
        <v>0.56362231770081739</v>
      </c>
      <c r="E22" s="79">
        <v>0.58042731665139591</v>
      </c>
      <c r="F22" s="79">
        <v>0.58042731665139591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2.3300000000000001E-2</v>
      </c>
    </row>
    <row r="27" spans="1:8" ht="15.75" customHeight="1" x14ac:dyDescent="0.25">
      <c r="B27" s="24" t="s">
        <v>39</v>
      </c>
      <c r="C27" s="79">
        <v>9.74E-2</v>
      </c>
    </row>
    <row r="28" spans="1:8" ht="15.75" customHeight="1" x14ac:dyDescent="0.25">
      <c r="B28" s="24" t="s">
        <v>40</v>
      </c>
      <c r="C28" s="79">
        <v>0.31609999999999999</v>
      </c>
    </row>
    <row r="29" spans="1:8" ht="15.75" customHeight="1" x14ac:dyDescent="0.25">
      <c r="B29" s="24" t="s">
        <v>41</v>
      </c>
      <c r="C29" s="79">
        <v>0.19239999999999999</v>
      </c>
    </row>
    <row r="30" spans="1:8" ht="15.75" customHeight="1" x14ac:dyDescent="0.25">
      <c r="B30" s="24" t="s">
        <v>42</v>
      </c>
      <c r="C30" s="79">
        <v>0.1069</v>
      </c>
    </row>
    <row r="31" spans="1:8" ht="15.75" customHeight="1" x14ac:dyDescent="0.25">
      <c r="B31" s="24" t="s">
        <v>43</v>
      </c>
      <c r="C31" s="79">
        <v>2.3700000000000002E-2</v>
      </c>
    </row>
    <row r="32" spans="1:8" ht="15.75" customHeight="1" x14ac:dyDescent="0.25">
      <c r="B32" s="24" t="s">
        <v>44</v>
      </c>
      <c r="C32" s="79">
        <v>2.7000000000000001E-3</v>
      </c>
    </row>
    <row r="33" spans="2:3" ht="15.75" customHeight="1" x14ac:dyDescent="0.25">
      <c r="B33" s="24" t="s">
        <v>45</v>
      </c>
      <c r="C33" s="79">
        <v>0.1893</v>
      </c>
    </row>
    <row r="34" spans="2:3" ht="15.75" customHeight="1" x14ac:dyDescent="0.25">
      <c r="B34" s="24" t="s">
        <v>46</v>
      </c>
      <c r="C34" s="79">
        <v>4.8199999997764822E-2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0.6606466260683761</v>
      </c>
      <c r="D2" s="80">
        <v>0.6606466260683761</v>
      </c>
      <c r="E2" s="80">
        <v>0.63950280802630766</v>
      </c>
      <c r="F2" s="80">
        <v>0.48982428913799492</v>
      </c>
      <c r="G2" s="80">
        <v>0.39122994608809991</v>
      </c>
    </row>
    <row r="3" spans="1:15" ht="15.75" customHeight="1" x14ac:dyDescent="0.25">
      <c r="A3" s="5"/>
      <c r="B3" s="11" t="s">
        <v>118</v>
      </c>
      <c r="C3" s="80">
        <v>0.23623121780626782</v>
      </c>
      <c r="D3" s="80">
        <v>0.23623121780626782</v>
      </c>
      <c r="E3" s="80">
        <v>0.22217468447862332</v>
      </c>
      <c r="F3" s="80">
        <v>0.308889194578858</v>
      </c>
      <c r="G3" s="80">
        <v>0.33906595327635325</v>
      </c>
    </row>
    <row r="4" spans="1:15" ht="15.75" customHeight="1" x14ac:dyDescent="0.25">
      <c r="A4" s="5"/>
      <c r="B4" s="11" t="s">
        <v>116</v>
      </c>
      <c r="C4" s="81">
        <v>7.0400702739425836E-2</v>
      </c>
      <c r="D4" s="81">
        <v>7.0400702739425836E-2</v>
      </c>
      <c r="E4" s="81">
        <v>9.8660139754547474E-2</v>
      </c>
      <c r="F4" s="81">
        <v>0.1502212178172255</v>
      </c>
      <c r="G4" s="81">
        <v>0.19864235843377898</v>
      </c>
    </row>
    <row r="5" spans="1:15" ht="15.75" customHeight="1" x14ac:dyDescent="0.25">
      <c r="A5" s="5"/>
      <c r="B5" s="11" t="s">
        <v>119</v>
      </c>
      <c r="C5" s="81">
        <v>3.272145338593032E-2</v>
      </c>
      <c r="D5" s="81">
        <v>3.272145338593032E-2</v>
      </c>
      <c r="E5" s="81">
        <v>3.9662367740521599E-2</v>
      </c>
      <c r="F5" s="81">
        <v>5.1065298465921567E-2</v>
      </c>
      <c r="G5" s="81">
        <v>7.1061742201767863E-2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0.89043782318181819</v>
      </c>
      <c r="D8" s="80">
        <v>0.89043782318181819</v>
      </c>
      <c r="E8" s="80">
        <v>0.90567956805882355</v>
      </c>
      <c r="F8" s="80">
        <v>0.8988178198258655</v>
      </c>
      <c r="G8" s="80">
        <v>0.91802290142906151</v>
      </c>
    </row>
    <row r="9" spans="1:15" ht="15.75" customHeight="1" x14ac:dyDescent="0.25">
      <c r="B9" s="7" t="s">
        <v>121</v>
      </c>
      <c r="C9" s="80">
        <v>7.6951416818181823E-2</v>
      </c>
      <c r="D9" s="80">
        <v>7.6951416818181823E-2</v>
      </c>
      <c r="E9" s="80">
        <v>7.8884989941176473E-2</v>
      </c>
      <c r="F9" s="80">
        <v>8.517225717413443E-2</v>
      </c>
      <c r="G9" s="80">
        <v>7.3001821137605102E-2</v>
      </c>
    </row>
    <row r="10" spans="1:15" ht="15.75" customHeight="1" x14ac:dyDescent="0.25">
      <c r="B10" s="7" t="s">
        <v>122</v>
      </c>
      <c r="C10" s="81">
        <v>2.1188069E-2</v>
      </c>
      <c r="D10" s="81">
        <v>2.1188069E-2</v>
      </c>
      <c r="E10" s="81">
        <v>1.1103619899999998E-2</v>
      </c>
      <c r="F10" s="81">
        <v>1.1981687899999999E-2</v>
      </c>
      <c r="G10" s="81">
        <v>8.2088361166666665E-3</v>
      </c>
    </row>
    <row r="11" spans="1:15" ht="15.75" customHeight="1" x14ac:dyDescent="0.25">
      <c r="B11" s="7" t="s">
        <v>123</v>
      </c>
      <c r="C11" s="81">
        <v>1.1422691E-2</v>
      </c>
      <c r="D11" s="81">
        <v>1.1422691E-2</v>
      </c>
      <c r="E11" s="81">
        <v>4.3318221000000004E-3</v>
      </c>
      <c r="F11" s="81">
        <v>4.0282351000000003E-3</v>
      </c>
      <c r="G11" s="81">
        <v>7.6644131666666671E-4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0.64111971849999994</v>
      </c>
      <c r="D14" s="82">
        <v>0.61129918249399995</v>
      </c>
      <c r="E14" s="82">
        <v>0.61129918249399995</v>
      </c>
      <c r="F14" s="82">
        <v>0.28696047060300001</v>
      </c>
      <c r="G14" s="82">
        <v>0.28696047060300001</v>
      </c>
      <c r="H14" s="83">
        <v>0.73299999999999998</v>
      </c>
      <c r="I14" s="83">
        <v>0.1556291390728477</v>
      </c>
      <c r="J14" s="83">
        <v>0.17056953642384109</v>
      </c>
      <c r="K14" s="83">
        <v>0.19547019867549673</v>
      </c>
      <c r="L14" s="83">
        <v>0.184677628589</v>
      </c>
      <c r="M14" s="83">
        <v>0.15563474363899998</v>
      </c>
      <c r="N14" s="83">
        <v>0.17593189052700001</v>
      </c>
      <c r="O14" s="83">
        <v>0.18225061803100001</v>
      </c>
    </row>
    <row r="15" spans="1:15" ht="15.75" customHeight="1" x14ac:dyDescent="0.25">
      <c r="B15" s="16" t="s">
        <v>68</v>
      </c>
      <c r="C15" s="80">
        <f>iron_deficiency_anaemia*C14</f>
        <v>0.35515625888644226</v>
      </c>
      <c r="D15" s="80">
        <f t="shared" ref="D15:O15" si="0">iron_deficiency_anaemia*D14</f>
        <v>0.33863680128707441</v>
      </c>
      <c r="E15" s="80">
        <f t="shared" si="0"/>
        <v>0.33863680128707441</v>
      </c>
      <c r="F15" s="80">
        <f t="shared" si="0"/>
        <v>0.15896532932429902</v>
      </c>
      <c r="G15" s="80">
        <f t="shared" si="0"/>
        <v>0.15896532932429902</v>
      </c>
      <c r="H15" s="80">
        <f t="shared" si="0"/>
        <v>0.40605448600589594</v>
      </c>
      <c r="I15" s="80">
        <f t="shared" si="0"/>
        <v>8.6212701328465577E-2</v>
      </c>
      <c r="J15" s="80">
        <f t="shared" si="0"/>
        <v>9.4489120655998279E-2</v>
      </c>
      <c r="K15" s="80">
        <f t="shared" si="0"/>
        <v>0.10828315286855278</v>
      </c>
      <c r="L15" s="80">
        <f t="shared" si="0"/>
        <v>0.10230447415210661</v>
      </c>
      <c r="M15" s="80">
        <f t="shared" si="0"/>
        <v>8.6215806047740137E-2</v>
      </c>
      <c r="N15" s="80">
        <f t="shared" si="0"/>
        <v>9.7459663547048478E-2</v>
      </c>
      <c r="O15" s="80">
        <f t="shared" si="0"/>
        <v>0.10096000140359424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0.312</v>
      </c>
      <c r="D2" s="81">
        <v>0.312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8.6999999999999994E-2</v>
      </c>
      <c r="D3" s="81">
        <v>0.161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0.14899999999999999</v>
      </c>
      <c r="D4" s="81">
        <v>0.14899999999999999</v>
      </c>
      <c r="E4" s="81">
        <v>0.46100000000000002</v>
      </c>
      <c r="F4" s="81">
        <v>0.75199999999999989</v>
      </c>
      <c r="G4" s="81">
        <v>0</v>
      </c>
    </row>
    <row r="5" spans="1:7" x14ac:dyDescent="0.25">
      <c r="B5" s="43" t="s">
        <v>169</v>
      </c>
      <c r="C5" s="80">
        <f>1-SUM(C2:C4)</f>
        <v>0.45199999999999996</v>
      </c>
      <c r="D5" s="80">
        <f>1-SUM(D2:D4)</f>
        <v>0.378</v>
      </c>
      <c r="E5" s="80">
        <f>1-SUM(E2:E4)</f>
        <v>0.53899999999999992</v>
      </c>
      <c r="F5" s="80">
        <f>1-SUM(F2:F4)</f>
        <v>0.24800000000000011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0.21827000000000002</v>
      </c>
      <c r="D2" s="144">
        <v>0.21045999999999998</v>
      </c>
      <c r="E2" s="144">
        <v>0.20279</v>
      </c>
      <c r="F2" s="144">
        <v>0.19531999999999999</v>
      </c>
      <c r="G2" s="144">
        <v>0.18801999999999999</v>
      </c>
      <c r="H2" s="144">
        <v>0.18085999999999999</v>
      </c>
      <c r="I2" s="144">
        <v>0.17396</v>
      </c>
      <c r="J2" s="144">
        <v>0.1673</v>
      </c>
      <c r="K2" s="144">
        <v>0.16086999999999999</v>
      </c>
      <c r="L2" s="144">
        <v>0.15468000000000001</v>
      </c>
      <c r="M2" s="144">
        <v>0.14871000000000001</v>
      </c>
      <c r="N2" s="144">
        <v>0.14294999999999999</v>
      </c>
      <c r="O2" s="144">
        <v>0.13741</v>
      </c>
      <c r="P2" s="144">
        <v>0.13208999999999999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1.2829999999999999E-2</v>
      </c>
      <c r="D4" s="144">
        <v>1.2500000000000001E-2</v>
      </c>
      <c r="E4" s="144">
        <v>1.221E-2</v>
      </c>
      <c r="F4" s="144">
        <v>1.1930000000000001E-2</v>
      </c>
      <c r="G4" s="144">
        <v>1.1679999999999999E-2</v>
      </c>
      <c r="H4" s="144">
        <v>1.1479999999999999E-2</v>
      </c>
      <c r="I4" s="144">
        <v>1.1299999999999999E-2</v>
      </c>
      <c r="J4" s="144">
        <v>1.111E-2</v>
      </c>
      <c r="K4" s="144">
        <v>1.094E-2</v>
      </c>
      <c r="L4" s="144">
        <v>1.077E-2</v>
      </c>
      <c r="M4" s="144">
        <v>1.061E-2</v>
      </c>
      <c r="N4" s="144">
        <v>1.0449999999999999E-2</v>
      </c>
      <c r="O4" s="144">
        <v>1.03E-2</v>
      </c>
      <c r="P4" s="144">
        <v>1.0160000000000001E-2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0.19517494801017687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0.14057491938741845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9.5939345164124612E-2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0.312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0.65499999999999992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14.555</v>
      </c>
      <c r="D13" s="143">
        <v>14.176</v>
      </c>
      <c r="E13" s="143">
        <v>13.715999999999999</v>
      </c>
      <c r="F13" s="143">
        <v>13.340999999999999</v>
      </c>
      <c r="G13" s="143">
        <v>12.936999999999999</v>
      </c>
      <c r="H13" s="143">
        <v>12.614000000000001</v>
      </c>
      <c r="I13" s="143">
        <v>12.224</v>
      </c>
      <c r="J13" s="143">
        <v>11.920999999999999</v>
      </c>
      <c r="K13" s="143">
        <v>11.576000000000001</v>
      </c>
      <c r="L13" s="143">
        <v>11.282</v>
      </c>
      <c r="M13" s="143">
        <v>11.128</v>
      </c>
      <c r="N13" s="143">
        <v>10.709</v>
      </c>
      <c r="O13" s="143">
        <v>10.555999999999999</v>
      </c>
      <c r="P13" s="143">
        <v>10.281000000000001</v>
      </c>
    </row>
    <row r="14" spans="1:16" x14ac:dyDescent="0.25">
      <c r="B14" s="16" t="s">
        <v>170</v>
      </c>
      <c r="C14" s="143">
        <f>maternal_mortality</f>
        <v>1.29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0.498</v>
      </c>
      <c r="E2" s="92">
        <f>food_insecure</f>
        <v>0.498</v>
      </c>
      <c r="F2" s="92">
        <f>food_insecure</f>
        <v>0.498</v>
      </c>
      <c r="G2" s="92">
        <f>food_insecure</f>
        <v>0.498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0.498</v>
      </c>
      <c r="F5" s="92">
        <f>food_insecure</f>
        <v>0.498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0.25532227995019202</v>
      </c>
      <c r="D7" s="92">
        <f>diarrhoea_1_5mo/26</f>
        <v>0.21105163911576924</v>
      </c>
      <c r="E7" s="92">
        <f>diarrhoea_6_11mo/26</f>
        <v>0.21105163911576924</v>
      </c>
      <c r="F7" s="92">
        <f>diarrhoea_12_23mo/26</f>
        <v>0.10129505262192308</v>
      </c>
      <c r="G7" s="92">
        <f>diarrhoea_24_59mo/26</f>
        <v>0.10129505262192308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0.498</v>
      </c>
      <c r="F8" s="92">
        <f>food_insecure</f>
        <v>0.498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0.63900000000000001</v>
      </c>
      <c r="E9" s="92">
        <f>IF(ISBLANK(comm_deliv), frac_children_health_facility,1)</f>
        <v>0.63900000000000001</v>
      </c>
      <c r="F9" s="92">
        <f>IF(ISBLANK(comm_deliv), frac_children_health_facility,1)</f>
        <v>0.63900000000000001</v>
      </c>
      <c r="G9" s="92">
        <f>IF(ISBLANK(comm_deliv), frac_children_health_facility,1)</f>
        <v>0.63900000000000001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0.25532227995019202</v>
      </c>
      <c r="D11" s="92">
        <f>diarrhoea_1_5mo/26</f>
        <v>0.21105163911576924</v>
      </c>
      <c r="E11" s="92">
        <f>diarrhoea_6_11mo/26</f>
        <v>0.21105163911576924</v>
      </c>
      <c r="F11" s="92">
        <f>diarrhoea_12_23mo/26</f>
        <v>0.10129505262192308</v>
      </c>
      <c r="G11" s="92">
        <f>diarrhoea_24_59mo/26</f>
        <v>0.10129505262192308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0.498</v>
      </c>
      <c r="I14" s="92">
        <f>food_insecure</f>
        <v>0.498</v>
      </c>
      <c r="J14" s="92">
        <f>food_insecure</f>
        <v>0.498</v>
      </c>
      <c r="K14" s="92">
        <f>food_insecure</f>
        <v>0.498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0.88900000000000001</v>
      </c>
      <c r="I17" s="92">
        <f>frac_PW_health_facility</f>
        <v>0.88900000000000001</v>
      </c>
      <c r="J17" s="92">
        <f>frac_PW_health_facility</f>
        <v>0.88900000000000001</v>
      </c>
      <c r="K17" s="92">
        <f>frac_PW_health_facility</f>
        <v>0.88900000000000001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0.24</v>
      </c>
      <c r="M23" s="92">
        <f>famplan_unmet_need</f>
        <v>0.24</v>
      </c>
      <c r="N23" s="92">
        <f>famplan_unmet_need</f>
        <v>0.24</v>
      </c>
      <c r="O23" s="92">
        <f>famplan_unmet_need</f>
        <v>0.24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0.30698540278625508</v>
      </c>
      <c r="M24" s="92">
        <f>(1-food_insecure)*(0.49)+food_insecure*(0.7)</f>
        <v>0.59458</v>
      </c>
      <c r="N24" s="92">
        <f>(1-food_insecure)*(0.49)+food_insecure*(0.7)</f>
        <v>0.59458</v>
      </c>
      <c r="O24" s="92">
        <f>(1-food_insecure)*(0.49)+food_insecure*(0.7)</f>
        <v>0.59458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0.13156517262268075</v>
      </c>
      <c r="M25" s="92">
        <f>(1-food_insecure)*(0.21)+food_insecure*(0.3)</f>
        <v>0.25481999999999999</v>
      </c>
      <c r="N25" s="92">
        <f>(1-food_insecure)*(0.21)+food_insecure*(0.3)</f>
        <v>0.25481999999999999</v>
      </c>
      <c r="O25" s="92">
        <f>(1-food_insecure)*(0.21)+food_insecure*(0.3)</f>
        <v>0.25481999999999999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7.7755729522705125E-2</v>
      </c>
      <c r="M26" s="92">
        <f>(1-food_insecure)*(0.3)</f>
        <v>0.15059999999999998</v>
      </c>
      <c r="N26" s="92">
        <f>(1-food_insecure)*(0.3)</f>
        <v>0.15059999999999998</v>
      </c>
      <c r="O26" s="92">
        <f>(1-food_insecure)*(0.3)</f>
        <v>0.15059999999999998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0.48369369506835902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2020-03-24T06:49:23Z</dcterms:modified>
</cp:coreProperties>
</file>