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90803AA4-3F12-4D67-B096-C7B67303A9E4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 s="1"/>
  <c r="G32" i="2"/>
  <c r="H32" i="2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I9" i="2" s="1"/>
  <c r="H10" i="2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32" i="2"/>
  <c r="I20" i="2"/>
  <c r="I33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3" i="2"/>
  <c r="I11" i="2"/>
  <c r="I10" i="2"/>
  <c r="I8" i="2"/>
  <c r="I7" i="2"/>
  <c r="I6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47B85902-6E28-4609-B8A1-C5FBE10C72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8D92DF0-B117-48F9-B242-961D170DE8C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2297171-EF7C-4B91-964B-3BE10DC61FAD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DFD53550-A7DE-4195-8EAA-D9F8E7C4213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FA291F34-3BB1-4047-BCAA-44088A3791F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60F8CDCC-689F-4D10-B272-A5B53784C178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705F5620-D034-477D-AEB8-F6C98F48297B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A8FD8C1C-98B6-4529-B084-361A034A678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98EF6D2C-383F-45B7-8C5B-9C697D823A0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91A462CF-A160-4703-8382-EC3FC293B55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8AE332C-9337-40A7-A661-2215714F0F6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5CAB7704-1A95-414B-8C79-203E2F3E83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6A5BE17D-5485-40AC-A537-8B2090A8B01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D688828B-A2A1-4124-BA7C-41D992E25A0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83D397D9-D5BD-4088-887A-027EC27C742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E1758C5-EECB-470E-8EF4-EB3C58918F4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1FF0C29-299F-4CF5-8BC8-FC99E2B92B6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84057AE-260F-4108-9CA2-6362F58651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5C8505A-1A20-44E5-B683-1893FD4BFD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8FBD73E6-027B-4A55-A8E3-4492C72D20E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7765D881-72BF-418C-9C79-EE1FF943188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57F6D4E-3357-424D-BDD9-6C9BCEE623F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B8425F1A-83EA-4436-A41E-33649AE2FE8B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9280032A-5760-4601-AFC2-C9398F403C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9733C2EB-44E6-443A-9181-47898E458B90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A3D963EB-08C0-4998-BC9B-7E92023AC0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D9F4F40E-E6C4-45F7-A386-BB7839ECD59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3EFF44B-92D3-4E09-BEDA-A6701FB86BF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D9EFB85F-77F1-4A9F-82ED-6B862B7466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B29F802D-FB40-432A-9584-F586C1F736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F06E2599-9706-4D3A-9BC6-96779CADC9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C430CC91-ED1D-4657-9C8A-474ACD98A7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6628168A-3701-4CFE-9909-1813A364EC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DD9CB537-3673-44AB-879D-CD3F168DA058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B4ABDC61-A2C5-4920-AA18-ABEA9DE675A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65E99A3-B606-41CE-A9B0-DFA6866A77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E97BA764-50A1-4F58-BAE2-214ADB3A41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9FCF67C9-13A0-4D7E-9C2A-0DF401E562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10224317-421D-4117-A664-B7AC0223E9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2F15750-B06F-4CB1-A543-7A0C42697A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42C7B7C0-6CBB-4D2C-947C-3B16E620B9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0A2E7D90-3EB8-4260-9EBA-A1D679411F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00943484-01F9-4671-8759-E1653A6F96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4BF8054B-C415-4584-A6E0-B26D62352C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6270F8B3-2221-4FD2-AC5F-B3E77AAAA9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2848137D-45CA-4CC5-9DAB-F21C884863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67CC568-C7FA-40B8-A1F9-7C38336046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CE72A66F-7856-4DFB-AAFB-294158EDBC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34EDE41D-E3D3-41BE-89F5-C0BA5FF08A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1BC43308-D415-471C-93DA-36D13908C3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F9EADBB9-0465-427B-AA10-F5A70D1CFF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04D30117-AE54-4766-8BA3-2CAFA89626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C39959F-D975-4CC4-AA75-84916C63E4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8CD379F1-5025-4C31-905B-47D7F0E8C1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9BBB9F50-6510-4A82-821C-437A5AC7AC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92780701-94D7-4374-A65A-551371FB13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E44B2F8-ECA7-4209-98BC-E9D42C4FE5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CBE7BE9E-0439-4046-BCC7-9D0198E2C2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2D310430-1485-4A88-AF84-B88D3A525A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DBE87373-C86C-4AF0-AD7F-9CBE8A84F9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947CACD0-1D66-48A9-A386-3A46D6DE12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EF957D06-3B34-438F-93B4-F11BA58F1E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FE477653-6752-495C-9C44-FB1687F720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8FB25F59-A5AF-4F04-97F8-340274025E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C2914B5-4C59-4897-814F-3E77E8B534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39D9F55F-72F8-4E69-9322-8C1DE23B57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9FA57D6-8DA1-43E3-8BB6-86D980E3F9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C712FD2B-E154-4B6E-96C6-3BDBFC64B1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8526AE8D-3DE6-45CB-AACE-361803CD8A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EA73CA73-3F22-4863-8CA5-963166ADD5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AC212A10-3125-48ED-92D3-E76E6AC1C4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1AC4B0EC-3DDA-4146-97FB-F4C22B2C0C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99F4016-BC1B-4636-B9B9-ED373577A9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35118B3-02C2-4AC6-B6A7-1EAD040508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4F9453CA-E686-42DC-B49F-824A0911FF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323875CA-4892-489C-9B1C-AC5C74276B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A1727FC3-D2DA-491F-B324-F06B8051F0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E0092289-F412-4798-9952-2933D3C67F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71C41200-3653-48EA-B85B-D7632A0313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663B20FB-0E77-40E8-8444-3E350031A9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1057938C-25A6-41ED-A72C-CAD23F3C35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5AAF9D00-42BE-4A7C-9EF0-B7C06CA2B6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E4BC6E4-4255-450E-A839-B452FAF26F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F62C6F1-3A74-4C76-B336-07C42BE950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2425CE11-B371-4E3D-A3C2-553D1ACA95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DE64BB7F-36E4-439C-9666-FDE1E17337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2B7D375-0095-4A73-92FE-2DAAE4A520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5E1D5507-0AB2-413B-8292-37B3F46AE4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CC76E963-D283-4224-9156-8EED83D106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C28D6F44-B1F5-427A-B22F-A8E4263567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CFE90882-CBDB-4EF1-A645-D13A25852C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6F976FA0-39C4-414E-AF06-6B8567814A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A330D875-14D9-4047-8963-838AC28BBF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8CF32C3-E38B-4320-8522-7BCCC82C4A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30E2384-A529-43A2-AC8D-22CD1B7A51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4B7B9CB5-D737-4FB8-BDF5-1A9050136A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AF5C6748-EAF0-421B-A7D1-3C1C30CAB4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CEB53D53-7AD1-4D63-8BD7-73116481D9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FD5BE397-1C3B-4087-98B4-0E411F6291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01F44D1A-7C8C-42C3-8393-0B7301B260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6FE243F1-EF7C-407B-8F6B-EE5BD230A6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3AB452E9-C518-4ED3-904F-59AECEA5D2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727047B-12B7-4C9E-82D9-9D2CE78517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C186B8A0-E354-49BD-B857-3F0964F10A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E0DDFD37-1099-4598-9913-4784517567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9A2BA4DF-61D0-4465-B6CB-7E8A070718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DCA7D1B-92BF-431B-909E-3364A322C2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8D6AF68C-FE93-499A-BCEE-596AA719C3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E70A28AA-24A2-4768-9A82-F1BD3F39E5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4A426B02-9080-426F-B5A2-7B40E7AEEA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7DF3888-1297-4DE3-AE5E-5A4C7AAD2C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50B55317-230F-4D38-AE52-17DDC84579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66D0566B-D222-41F2-A468-33E1F615CA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0B280457-FCF2-413B-8BD9-4B65A04D7C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D1DE1ACF-D1E9-423F-8CCB-0D63584E2F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4502F58-5D62-41F8-B8D5-A79876BF683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A0FC6A18-57B2-45F5-A6E7-917AFAD31B6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9AE0C63A-C63E-4891-82AE-6B540464D23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786D848D-5A84-4B25-9AF9-938D0C6B37E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1C288C14-F296-4C48-8320-8F10314E7D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9A0E08BC-FCBE-4C20-84DB-33E839453F6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5B92C5C-71AE-4B52-AB00-B55B49ADD1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97AA6302-4447-4540-A8F8-A9E2F08D424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569DE2F7-D442-4567-817B-359BB46C221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4EA99F60-A35E-4A6F-B59B-BD70B35CAA0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458F5A40-7296-429D-920B-780047EBC3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FFD4CBF7-3433-4685-BB9E-041F8611B7B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6DA834F4-029A-4389-B592-FF34F36D9D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5D2A6B75-9214-4C03-8174-3D19511DC09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30E0BE92-144E-480C-88E0-8643ECCF2B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D265B4A7-90B4-496C-ACFF-C04FFEFE532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707287E8-6295-47A5-8A30-2EF643FE6B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EEE86DA7-F973-41BF-BD54-A498FAA2DC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4B58A2A-96A3-4846-AC85-3AC56FA017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E180C328-D31A-4D15-AEFB-4563BA4F06D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A650735-4700-4F5F-9202-25E76EA696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F615575-2600-48A7-B14A-ABD14C65FE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2C918E5E-8537-44A6-AB59-B16CB1F06D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ACC992D-2BC2-4D83-9026-76C369D1764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5299EC37-790F-45A9-A3D5-6C693CA4585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125C1CD-5D80-4EFD-BF09-985D7D061C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0A34B176-04C8-4B71-8B97-EAE962AA332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DBCB3A4-5E35-4DF8-9315-B3294C41520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A9CD69BC-80E4-4144-80A4-8B437D40DA0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C3425BA4-70EA-4339-BE7B-C0CE7127B6B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0AD90D1A-41F1-44E1-878E-DEC8897566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E88EBA8C-6C53-40DB-8177-3F2354FEFB9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8E1880FB-29DB-4EE0-BEFF-FD338897088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26291E4-43C3-4FE1-9DB6-08A9D153C1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F3425DDF-1031-4DDE-946A-3725F1C0CE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30F201D3-4D92-4A5F-B7EB-102F641B5B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EC2AFD85-4507-47A3-892C-DCD908BE378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625B879-8C22-446E-B2E8-85683E1A38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A5EE177-6D8B-4DF9-8767-A5996DFCA9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0DF06C6-A076-4FEF-BC41-40158A1E42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EFDAD8C1-D66F-49A9-AB5F-B2D7E869F9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A63AAC12-1FBB-4EFE-9D6F-08109C8D87D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D8055B59-2E85-4414-BBB4-E88A4AB62AE1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B79B491-D3C6-48C5-A61C-103B7B563C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DD2CCAEE-0382-417C-A5BD-27F1462E00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1FF7583-D30E-4AB5-BD39-F6BB32F4F6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EDEB52A1-4DDA-4587-A2F2-E494A993BE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12B56BBB-F9CA-418D-BB7F-8D3B313586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37BCDC5E-FE26-42CC-8C94-D969F01E4A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2A7A027-4BA1-4BCE-8FBA-847FEF9466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BB6A1BB-B7C6-422B-8067-5E6A19B63C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6642B8FA-D9C5-471F-9B0B-0EEFA3965A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BF895622-A38A-42DB-A54F-2A27A200D6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FE2922D1-6ADE-43AB-A184-D729E7EB47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34CB71A-0BA2-401D-9373-A5F8FF7E87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8F8EAB7D-1B73-44E3-834D-88F9FB2DA1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ACFEAE5F-77EF-4B77-9169-B2C3A6CCF0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E9F6C2B9-E256-4BC5-8E79-A422D877B3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E626C90E-75C3-4128-B490-E6239EF7DE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87973B79-DFE6-456C-B2D6-C7F3DD02A7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7FCEC56B-C901-4BF5-BA26-0CAA34586F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EAE40EB-C43E-481A-86BF-C5CCBF02FE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81ACC9A8-40E7-440A-9CEE-B8589657C8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F928C0BD-2158-446C-B265-EE693194FAE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9EA6C1D4-2181-4790-BED9-DC0E1D2786A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E0D7258E-DB07-46E0-A39D-369BC8058E7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9A29FAEC-2698-4792-8CA5-81C50CC9A4A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AE9A8773-F7B6-4563-8E91-EB42517926A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29A19009-67BC-4D9B-A146-B8FE261B1F3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33A00949-BC15-4442-B2AF-0A77348BC4B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59E56002-03D7-46AA-AA7D-DFDF8080847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D7FEC9D3-77C1-4B9D-BEF5-5A4B88200F6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E59A18D3-3FAB-4947-B232-DBB711A7A7C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00CC0CAE-870B-49FC-8A0E-EE080A87010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6016C773-74E5-4470-BF80-33D97EBED3C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471E83EF-181B-4AC3-B49D-4EEE5115CB1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B48BBA8A-CBE8-401E-84D5-1E57819DEB0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F4B75AAE-E328-45C0-A1DD-2581CD2AF3F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2D264DF3-6F4D-4939-BDD9-D255C37C67A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FBFB6625-7413-4BA4-9538-2F98B3DFAAE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5F6287D5-A855-4FDD-B8A5-B912B5A41F9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C1768921-51E3-4FF3-91D8-08444E80A6E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6A4565AD-9EE0-4EED-A72A-BFC23F146B4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06C0101D-47A4-4AC8-8752-7CB6CE0AEA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4B229387-4CA6-4261-808A-23FB10AD850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A196BBD-1DFB-440B-8521-80AE6D201E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54473EC-FA06-48C9-9A0A-5750F44E24D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EF3D06AC-B4B0-45E1-B9CD-2C0C94D6765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F45A6473-1339-4CDF-BE71-04296B04CC3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C033E970-7920-492D-888D-70E4AFDA6FB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D59FD00-3230-4818-B37C-1D2FB9F0FD7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400D3862-EF17-4698-BCC7-E95B37CDEE0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6D537177-D0DB-4F5B-BDFB-8A90CE7237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89F1F302-DFE4-4099-BCBA-B5E080969F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1E232B6C-4FF1-4677-B61F-41AD567D3C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00BF7190-B128-4D92-B0EC-8C063F2740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71CC116A-EB15-4E26-955B-3B3B14DCE59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B2AA4B40-61B6-48AB-AF76-FE773BE803B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E0037AA6-A1A2-447B-B2BC-5749F97EEB0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C618F7A2-D426-4D6B-890F-F1BB6CBE8D30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15A1DD0B-73A9-46B7-A9B4-D244F8B14F1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636B50AB-87A3-4269-ABFC-0A0327CA4D6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CD57D4E5-7D2C-4670-826C-4F34BE1235E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81192F8D-9CDE-4AB0-9E6E-1248BE428F5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88591B2-AED3-47CF-A1D7-AC6D3FB091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A2A22E91-6635-4838-9121-AE00A3A230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6F851EB4-75B5-453D-9249-9E6C769E70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1162CD28-992C-4FB4-AE82-9EE8C0DE46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100AC29B-FC91-4D21-AE4A-FFE90FF492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973444C0-8A8D-4089-9D8F-F960173FE4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833B42EE-EDB0-45C4-9F52-728944347B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BFC7C37B-1261-4479-AC4E-BE779783C8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3969EC8B-7577-45D3-99B6-EA18FE292D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3958BD18-8442-4ECA-987A-F26CB4D2C8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360DEB14-7833-4E2B-9A9E-20E55F0BAB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2F0F72E7-FAEB-4D1D-ABFC-EB665F397B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4FA3D82A-6867-4B67-B57B-985882B72F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EA61FF7F-FA29-4C2B-BD89-7A554EDCEB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A215BEE-BC89-470A-AC54-1471445DBE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40BFBC42-F974-4AD0-B47A-25AD987B06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77EECEBE-DD12-4D34-AAC1-C6644EA810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2FF8719C-DD8A-453C-BE6E-7EFFC13076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5CD23E36-1044-45B3-8F81-BE3DD16CAD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140C00C8-4C1C-4D62-95A2-D2F578050F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D6376E0E-5BD5-491A-ACF4-89F657536C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61DBA56F-DD0F-4436-B05E-8C9A055DBA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C891EA6B-4B12-4C98-B480-63670FDBA9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631E94E2-8FD9-4257-9617-789862D1BD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C2F86C6-F7D9-458A-9C6F-85EE6F6323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4BC64F7B-2FA6-4B95-8DC1-FA3E2B4A75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5BB902DC-2041-4E9F-BD93-67517E3336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BFE2EC3C-A274-4F5F-9C7D-65AF326B30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4E21A0F2-B055-4365-B7B7-ADABAF0187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096843FA-63E8-448B-85BD-DB2FAD1459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BF539F95-72BF-4EC6-9619-5B5D7AF385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2E9A9058-FBC1-4EC9-8D94-DA8B7E505B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B1FDB333-474E-4BD7-9E3B-A59A8ED1F5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2332AFD9-AE63-4814-9325-CEA9CFDD5E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85E025F0-CBD8-4F64-ABF4-F5F28C263F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D1E4BF43-FF9B-4050-BBFC-36A589012E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F9799AB2-8BFE-4DCA-9236-C4D71E0EED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DB732C5E-C80C-49D4-80BD-C3D1EC3975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9EB7DB0-7B57-4180-AAE0-AF9747CBBE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AA3BAD36-B29F-43F9-8F51-F9448DFDD3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04D403ED-3523-4F71-A97C-6D7D20FC8C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3ACBB83-B303-4A83-AC9F-84F4FFFB7F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F1032D2-4FE7-48CE-803A-3A92561E5FD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E9718FD-DA9B-4E4E-B5B8-E20E6620D7F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6747982-DA47-424D-9730-A8FC2523F6C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060FD03-2AC9-4620-B55D-8D7C5FDD5EA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49A4C2CE-8CCE-445F-BE74-AED62FAA4448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E0E3A044-1EA5-4A91-A3C7-4A84EA01BD2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16C4F96E-1F84-4713-A82E-611AA6AA369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C6EC45F6-2BB3-4780-B5CD-5F7D3C9CBFD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79496DE7-83B3-4A52-9475-F10C38A0839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9FE144F-B3B0-48D4-A874-EDED13648B2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157C5888-E65B-4D45-A11A-9FB84523AA8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73D4DB14-BF68-4BC0-9B45-C2A223A70DC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5AF1EA5D-7308-44FB-8B53-26A2611210A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04850F8-AD94-4CE7-A206-A1F65DCEAC3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2915326D-E716-4D23-97EC-FE83DCDA492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C4127F3B-27F7-4098-B33F-A33BF67AC25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AEC73C2F-9CAE-46A5-86A5-1DFE9748517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49678D50-57AA-4B68-B6F2-13DC712F174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9C7369C4-46AA-402C-B9A2-BE7725C1798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26ABE674-7D23-4800-BDFB-11D9C55C73F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A2E56BFA-BB63-420A-A860-842F4BC1032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7CF74269-F649-43DF-8172-C0C09D6F016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5F1EC71E-ADF0-4967-B310-485771D5856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0A772AC-195B-4D21-B5DE-BF12F125D9C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4328267-50B2-4884-89B4-358DFE122F4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1589AE6D-2461-4392-9D62-8BE979E2C03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437BAE30-E8E0-41E7-BF95-00D812E11906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41BBECB6-46CD-4265-9405-A92A589C840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6A0B9EB3-D231-40FB-9121-2B05EFB7D33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378D8456-456C-49D3-8486-F8159CDF5C6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8974CA05-C709-48F5-BEF9-EC29300644C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DF0F1234-7664-4F8C-90C0-9BC07CE280D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641AE40-598C-43D0-8B6D-3628DF9B32F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DB05D753-2938-491E-89C2-E539AAAC81C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2274A270-E3E3-4C93-9734-A341684112D1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AD44D37B-C973-49C1-A55D-DB1330624C0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4960961D-3E3F-4A50-A36C-C541B4A88480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55C6B94-DF5C-4774-AD53-22D5783F3C6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7DF41BA4-4088-4023-ADA8-4B66BE5366D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0824FCAF-CE89-43FC-BEA0-83A8FBA13AF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F58229A8-E814-4A42-A59F-3CEA7733A2A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E13F00FA-1D96-468B-AEFC-B78F7761F89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0F861C88-9020-4D95-9065-DF3DD70C53E9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71DC1E4-126C-4767-A0F6-3D669A867F8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9F224753-B448-4781-8714-C723DF31FE8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CBA1EE99-CF87-48EA-9C20-09F42796D68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48D16CDE-279D-46AF-970A-171FF61514A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EED04E8F-AFB9-4A6D-A5ED-C6CBEE8E518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ECF3AFA7-90BD-4717-B8A4-1D5413D508D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979C15AA-88AF-4A33-AA2F-D71A966274A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E11873CA-FDBB-49E0-9B28-69A4013F0A60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8AA226BF-2004-44D7-BAE1-0FDA510D069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97036025-2F51-42BD-937B-8511C0E81B5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1ECC190A-13F6-4F90-B61A-1B442AFF6D8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E823D44A-5DC5-40A6-837C-FEBACB75744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DB28BAF2-0812-4C81-8493-0F4FA05F248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F670ADBC-DCE8-4FEB-ADA4-99898A2A0F4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92C52B54-473C-42E1-AB69-0AB6F05C715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A9FA093-616A-4AB1-A5D3-0D4563C09D8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DA547616-D444-47B3-967C-76FE5D6D415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A27B2B11-67F5-458C-817A-91BDC05DC17C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85BB6E7-A156-492A-AC6E-F2794CC7413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<sst xmlns="http://schemas.openxmlformats.org/spreadsheetml/2006/main" count="1102" uniqueCount="271">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</sst>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24724902</v>
      </c>
    </row>
    <row r="8" spans="1:3" ht="15" customHeight="1" x14ac:dyDescent="0.25">
      <c r="B8" s="7" t="s">
        <v>106</v>
      </c>
      <c r="C8" s="70">
        <v>0.106</v>
      </c>
    </row>
    <row r="9" spans="1:3" ht="15" customHeight="1" x14ac:dyDescent="0.25">
      <c r="B9" s="9" t="s">
        <v>107</v>
      </c>
      <c r="C9" s="71">
        <v>0.10880000000000001</v>
      </c>
    </row>
    <row r="10" spans="1:3" ht="15" customHeight="1" x14ac:dyDescent="0.25">
      <c r="B10" s="9" t="s">
        <v>105</v>
      </c>
      <c r="C10" s="71">
        <v>0.77582038879394499</v>
      </c>
    </row>
    <row r="11" spans="1:3" ht="15" customHeight="1" x14ac:dyDescent="0.25">
      <c r="B11" s="7" t="s">
        <v>108</v>
      </c>
      <c r="C11" s="70">
        <v>0.83499999999999996</v>
      </c>
    </row>
    <row r="12" spans="1:3" ht="15" customHeight="1" x14ac:dyDescent="0.25">
      <c r="B12" s="7" t="s">
        <v>109</v>
      </c>
      <c r="C12" s="70">
        <v>0.753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0.10949999999999999</v>
      </c>
    </row>
    <row r="24" spans="1:3" ht="15" customHeight="1" x14ac:dyDescent="0.25">
      <c r="B24" s="20" t="s">
        <v>102</v>
      </c>
      <c r="C24" s="71">
        <v>0.52049999999999996</v>
      </c>
    </row>
    <row r="25" spans="1:3" ht="15" customHeight="1" x14ac:dyDescent="0.25">
      <c r="B25" s="20" t="s">
        <v>103</v>
      </c>
      <c r="C25" s="71">
        <v>0.32289999999999996</v>
      </c>
    </row>
    <row r="26" spans="1:3" ht="15" customHeight="1" x14ac:dyDescent="0.25">
      <c r="B26" s="20" t="s">
        <v>104</v>
      </c>
      <c r="C26" s="71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0.04</v>
      </c>
    </row>
    <row r="31" spans="1:3" ht="14.25" customHeight="1" x14ac:dyDescent="0.25">
      <c r="B31" s="30" t="s">
        <v>77</v>
      </c>
      <c r="C31" s="73">
        <v>5.2999999999999999E-2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12.4</v>
      </c>
    </row>
    <row r="38" spans="1:5" ht="15" customHeight="1" x14ac:dyDescent="0.25">
      <c r="B38" s="16" t="s">
        <v>91</v>
      </c>
      <c r="C38" s="75">
        <v>21.4</v>
      </c>
      <c r="D38" s="17"/>
      <c r="E38" s="18"/>
    </row>
    <row r="39" spans="1:5" ht="15" customHeight="1" x14ac:dyDescent="0.25">
      <c r="B39" s="16" t="s">
        <v>90</v>
      </c>
      <c r="C39" s="75">
        <v>25.4</v>
      </c>
      <c r="D39" s="17"/>
      <c r="E39" s="17"/>
    </row>
    <row r="40" spans="1:5" ht="15" customHeight="1" x14ac:dyDescent="0.25">
      <c r="B40" s="16" t="s">
        <v>171</v>
      </c>
      <c r="C40" s="75">
        <v>1.26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3.4500000000000003E-2</v>
      </c>
      <c r="D45" s="17"/>
    </row>
    <row r="46" spans="1:5" ht="15.75" customHeight="1" x14ac:dyDescent="0.25">
      <c r="B46" s="16" t="s">
        <v>11</v>
      </c>
      <c r="C46" s="71">
        <v>0.1201</v>
      </c>
      <c r="D46" s="17"/>
    </row>
    <row r="47" spans="1:5" ht="15.75" customHeight="1" x14ac:dyDescent="0.25">
      <c r="B47" s="16" t="s">
        <v>12</v>
      </c>
      <c r="C47" s="71">
        <v>0.2039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3.1360265414150001</v>
      </c>
      <c r="D51" s="17"/>
    </row>
    <row r="52" spans="1:4" ht="15" customHeight="1" x14ac:dyDescent="0.25">
      <c r="B52" s="16" t="s">
        <v>125</v>
      </c>
      <c r="C52" s="76">
        <v>2.9498313647099996</v>
      </c>
    </row>
    <row r="53" spans="1:4" ht="15.75" customHeight="1" x14ac:dyDescent="0.25">
      <c r="B53" s="16" t="s">
        <v>126</v>
      </c>
      <c r="C53" s="76">
        <v>2.9498313647099996</v>
      </c>
    </row>
    <row r="54" spans="1:4" ht="15.75" customHeight="1" x14ac:dyDescent="0.25">
      <c r="B54" s="16" t="s">
        <v>127</v>
      </c>
      <c r="C54" s="76">
        <v>2.1057626136500001</v>
      </c>
    </row>
    <row r="55" spans="1:4" ht="15.75" customHeight="1" x14ac:dyDescent="0.25">
      <c r="B55" s="16" t="s">
        <v>128</v>
      </c>
      <c r="C55" s="76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0.6021546758280274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54.369919363327419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39.798107024226709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357.02948881176422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1.1420537290531823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1.397572738708601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1.397572738708601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1.397572738708601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1.397572738708601</v>
      </c>
      <c r="E13" s="86" t="s">
        <v>202</v>
      </c>
    </row>
    <row r="14" spans="1:5" ht="15.75" customHeight="1" x14ac:dyDescent="0.25">
      <c r="A14" s="11" t="s">
        <v>187</v>
      </c>
      <c r="B14" s="85">
        <v>0.32899999999999996</v>
      </c>
      <c r="C14" s="85">
        <v>0.95</v>
      </c>
      <c r="D14" s="86">
        <v>12.930406468022618</v>
      </c>
      <c r="E14" s="86" t="s">
        <v>202</v>
      </c>
    </row>
    <row r="15" spans="1:5" ht="15.75" customHeight="1" x14ac:dyDescent="0.25">
      <c r="A15" s="11" t="s">
        <v>209</v>
      </c>
      <c r="B15" s="85">
        <v>0.32899999999999996</v>
      </c>
      <c r="C15" s="85">
        <v>0.95</v>
      </c>
      <c r="D15" s="86">
        <v>12.930406468022618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0.63717226791796655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0.58200000000000007</v>
      </c>
      <c r="C18" s="85">
        <v>0.95</v>
      </c>
      <c r="D18" s="87">
        <v>8.2480771138610329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8.2480771138610329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8.2480771138610329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9.1518723376901896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22.270877383511646</v>
      </c>
      <c r="E22" s="86" t="s">
        <v>202</v>
      </c>
    </row>
    <row r="23" spans="1:5" ht="15.75" customHeight="1" x14ac:dyDescent="0.25">
      <c r="A23" s="52" t="s">
        <v>34</v>
      </c>
      <c r="B23" s="85">
        <v>3.1E-2</v>
      </c>
      <c r="C23" s="85">
        <v>0.95</v>
      </c>
      <c r="D23" s="86">
        <v>4.2282295523678748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18.492233391202262</v>
      </c>
      <c r="E24" s="86" t="s">
        <v>202</v>
      </c>
    </row>
    <row r="25" spans="1:5" ht="15.75" customHeight="1" x14ac:dyDescent="0.25">
      <c r="A25" s="52" t="s">
        <v>87</v>
      </c>
      <c r="B25" s="85">
        <v>0.10400000000000001</v>
      </c>
      <c r="C25" s="85">
        <v>0.95</v>
      </c>
      <c r="D25" s="86">
        <v>18.491881366620152</v>
      </c>
      <c r="E25" s="86" t="s">
        <v>202</v>
      </c>
    </row>
    <row r="26" spans="1:5" ht="15.75" customHeight="1" x14ac:dyDescent="0.25">
      <c r="A26" s="52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6.7550372733482122</v>
      </c>
      <c r="E27" s="86" t="s">
        <v>202</v>
      </c>
    </row>
    <row r="28" spans="1:5" ht="15.75" customHeight="1" x14ac:dyDescent="0.25">
      <c r="A28" s="52" t="s">
        <v>84</v>
      </c>
      <c r="B28" s="85">
        <v>0.38799999999999996</v>
      </c>
      <c r="C28" s="85">
        <v>0.95</v>
      </c>
      <c r="D28" s="86">
        <v>1.8812667194717347</v>
      </c>
      <c r="E28" s="86" t="s">
        <v>202</v>
      </c>
    </row>
    <row r="29" spans="1:5" ht="15.75" customHeight="1" x14ac:dyDescent="0.25">
      <c r="A29" s="52" t="s">
        <v>58</v>
      </c>
      <c r="B29" s="85">
        <v>0.58200000000000007</v>
      </c>
      <c r="C29" s="85">
        <v>0.95</v>
      </c>
      <c r="D29" s="86">
        <v>105.29578913524344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7.4384576847866803</v>
      </c>
      <c r="E30" s="86" t="s">
        <v>202</v>
      </c>
    </row>
    <row r="31" spans="1:5" ht="15.75" customHeight="1" x14ac:dyDescent="0.25">
      <c r="A31" s="52" t="s">
        <v>28</v>
      </c>
      <c r="B31" s="85">
        <v>0.65599999999999992</v>
      </c>
      <c r="C31" s="85">
        <v>0.95</v>
      </c>
      <c r="D31" s="86">
        <v>1.3596953000307599</v>
      </c>
      <c r="E31" s="86" t="s">
        <v>202</v>
      </c>
    </row>
    <row r="32" spans="1:5" ht="15.75" customHeight="1" x14ac:dyDescent="0.25">
      <c r="A32" s="52" t="s">
        <v>83</v>
      </c>
      <c r="B32" s="85">
        <v>0.92599999999999993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0.65099999999999991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0.60799999999999998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0.87400000000000011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0.218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1.1000000000000001E-2</v>
      </c>
      <c r="C37" s="85">
        <v>0.95</v>
      </c>
      <c r="D37" s="86">
        <v>4.4407254381901682</v>
      </c>
      <c r="E37" s="86" t="s">
        <v>202</v>
      </c>
    </row>
    <row r="38" spans="1:6" ht="15.75" customHeight="1" x14ac:dyDescent="0.25">
      <c r="A38" s="52" t="s">
        <v>60</v>
      </c>
      <c r="B38" s="85">
        <v>1.1000000000000001E-2</v>
      </c>
      <c r="C38" s="85">
        <v>0.95</v>
      </c>
      <c r="D38" s="86">
        <v>1.3808177529410184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0.17680000520000003</v>
      </c>
      <c r="C3" s="26">
        <f>frac_mam_1_5months * 2.6</f>
        <v>0.17680000520000003</v>
      </c>
      <c r="D3" s="26">
        <f>frac_mam_6_11months * 2.6</f>
        <v>0.17680000520000003</v>
      </c>
      <c r="E3" s="26">
        <f>frac_mam_12_23months * 2.6</f>
        <v>0.17680000520000003</v>
      </c>
      <c r="F3" s="26">
        <f>frac_mam_24_59months * 2.6</f>
        <v>0.17680000520000003</v>
      </c>
    </row>
    <row r="4" spans="1:6" ht="15.75" customHeight="1" x14ac:dyDescent="0.25">
      <c r="A4" s="3" t="s">
        <v>66</v>
      </c>
      <c r="B4" s="26">
        <f>frac_sam_1month * 2.6</f>
        <v>0.17419999479999998</v>
      </c>
      <c r="C4" s="26">
        <f>frac_sam_1_5months * 2.6</f>
        <v>0.17419999479999998</v>
      </c>
      <c r="D4" s="26">
        <f>frac_sam_6_11months * 2.6</f>
        <v>0.17419999479999998</v>
      </c>
      <c r="E4" s="26">
        <f>frac_sam_12_23months * 2.6</f>
        <v>0.17419999479999998</v>
      </c>
      <c r="F4" s="26">
        <f>frac_sam_24_59months * 2.6</f>
        <v>0.17419999479999998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4916575.4424959989</v>
      </c>
      <c r="C2" s="78">
        <v>11104017</v>
      </c>
      <c r="D2" s="78">
        <v>21221836</v>
      </c>
      <c r="E2" s="78">
        <v>20596494</v>
      </c>
      <c r="F2" s="78">
        <v>17660493</v>
      </c>
      <c r="G2" s="22">
        <f t="shared" ref="G2:G40" si="0">C2+D2+E2+F2</f>
        <v>70582840</v>
      </c>
      <c r="H2" s="22">
        <f t="shared" ref="H2:H40" si="1">(B2 + stillbirth*B2/(1000-stillbirth))/(1-abortion)</f>
        <v>5726830.3007701645</v>
      </c>
      <c r="I2" s="22">
        <f>G2-H2</f>
        <v>64856009.699229836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4880836.6616666671</v>
      </c>
      <c r="C3" s="78">
        <v>11228000</v>
      </c>
      <c r="D3" s="78">
        <v>21266000</v>
      </c>
      <c r="E3" s="78">
        <v>20695000</v>
      </c>
      <c r="F3" s="78">
        <v>17930000</v>
      </c>
      <c r="G3" s="22">
        <f t="shared" si="0"/>
        <v>71119000</v>
      </c>
      <c r="H3" s="22">
        <f t="shared" si="1"/>
        <v>5685201.7454149565</v>
      </c>
      <c r="I3" s="22">
        <f t="shared" ref="I3:I15" si="3">G3-H3</f>
        <v>65433798.254585043</v>
      </c>
    </row>
    <row r="4" spans="1:9" ht="15.75" customHeight="1" x14ac:dyDescent="0.25">
      <c r="A4" s="7">
        <f t="shared" si="2"/>
        <v>2019</v>
      </c>
      <c r="B4" s="77">
        <v>4842124.394666668</v>
      </c>
      <c r="C4" s="78">
        <v>11336000</v>
      </c>
      <c r="D4" s="78">
        <v>21321000</v>
      </c>
      <c r="E4" s="78">
        <v>20759000</v>
      </c>
      <c r="F4" s="78">
        <v>18195000</v>
      </c>
      <c r="G4" s="22">
        <f t="shared" si="0"/>
        <v>71611000</v>
      </c>
      <c r="H4" s="22">
        <f t="shared" si="1"/>
        <v>5640109.6714175018</v>
      </c>
      <c r="I4" s="22">
        <f t="shared" si="3"/>
        <v>65970890.328582495</v>
      </c>
    </row>
    <row r="5" spans="1:9" ht="15.75" customHeight="1" x14ac:dyDescent="0.25">
      <c r="A5" s="7">
        <f t="shared" si="2"/>
        <v>2020</v>
      </c>
      <c r="B5" s="77">
        <v>4800652.6050000004</v>
      </c>
      <c r="C5" s="78">
        <v>11408000</v>
      </c>
      <c r="D5" s="78">
        <v>21386000</v>
      </c>
      <c r="E5" s="78">
        <v>20784000</v>
      </c>
      <c r="F5" s="78">
        <v>18461000</v>
      </c>
      <c r="G5" s="22">
        <f t="shared" si="0"/>
        <v>72039000</v>
      </c>
      <c r="H5" s="22">
        <f t="shared" si="1"/>
        <v>5591803.3036076203</v>
      </c>
      <c r="I5" s="22">
        <f t="shared" si="3"/>
        <v>66447196.69639238</v>
      </c>
    </row>
    <row r="6" spans="1:9" ht="15.75" customHeight="1" x14ac:dyDescent="0.25">
      <c r="A6" s="7">
        <f t="shared" si="2"/>
        <v>2021</v>
      </c>
      <c r="B6" s="77">
        <v>4778116.9068</v>
      </c>
      <c r="C6" s="78">
        <v>11453000</v>
      </c>
      <c r="D6" s="78">
        <v>21497000</v>
      </c>
      <c r="E6" s="78">
        <v>20807000</v>
      </c>
      <c r="F6" s="78">
        <v>18737000</v>
      </c>
      <c r="G6" s="22">
        <f t="shared" si="0"/>
        <v>72494000</v>
      </c>
      <c r="H6" s="22">
        <f t="shared" si="1"/>
        <v>5565553.707560488</v>
      </c>
      <c r="I6" s="22">
        <f t="shared" si="3"/>
        <v>66928446.292439513</v>
      </c>
    </row>
    <row r="7" spans="1:9" ht="15.75" customHeight="1" x14ac:dyDescent="0.25">
      <c r="A7" s="7">
        <f t="shared" si="2"/>
        <v>2022</v>
      </c>
      <c r="B7" s="77">
        <v>4753233.4949999992</v>
      </c>
      <c r="C7" s="78">
        <v>11455000</v>
      </c>
      <c r="D7" s="78">
        <v>21613000</v>
      </c>
      <c r="E7" s="78">
        <v>20792000</v>
      </c>
      <c r="F7" s="78">
        <v>19011000</v>
      </c>
      <c r="G7" s="22">
        <f t="shared" si="0"/>
        <v>72871000</v>
      </c>
      <c r="H7" s="22">
        <f t="shared" si="1"/>
        <v>5536569.4931719378</v>
      </c>
      <c r="I7" s="22">
        <f t="shared" si="3"/>
        <v>67334430.50682807</v>
      </c>
    </row>
    <row r="8" spans="1:9" ht="15.75" customHeight="1" x14ac:dyDescent="0.25">
      <c r="A8" s="7">
        <f t="shared" si="2"/>
        <v>2023</v>
      </c>
      <c r="B8" s="77">
        <v>4726013.748399999</v>
      </c>
      <c r="C8" s="78">
        <v>11438000</v>
      </c>
      <c r="D8" s="78">
        <v>21733000</v>
      </c>
      <c r="E8" s="78">
        <v>20755000</v>
      </c>
      <c r="F8" s="78">
        <v>19273000</v>
      </c>
      <c r="G8" s="22">
        <f t="shared" si="0"/>
        <v>73199000</v>
      </c>
      <c r="H8" s="22">
        <f t="shared" si="1"/>
        <v>5504863.9144756757</v>
      </c>
      <c r="I8" s="22">
        <f t="shared" si="3"/>
        <v>67694136.085524321</v>
      </c>
    </row>
    <row r="9" spans="1:9" ht="15.75" customHeight="1" x14ac:dyDescent="0.25">
      <c r="A9" s="7">
        <f t="shared" si="2"/>
        <v>2024</v>
      </c>
      <c r="B9" s="77">
        <v>4696437.7885999987</v>
      </c>
      <c r="C9" s="78">
        <v>11438000</v>
      </c>
      <c r="D9" s="78">
        <v>21854000</v>
      </c>
      <c r="E9" s="78">
        <v>20723000</v>
      </c>
      <c r="F9" s="78">
        <v>19510000</v>
      </c>
      <c r="G9" s="22">
        <f t="shared" si="0"/>
        <v>73525000</v>
      </c>
      <c r="H9" s="22">
        <f t="shared" si="1"/>
        <v>5470413.817098341</v>
      </c>
      <c r="I9" s="22">
        <f t="shared" si="3"/>
        <v>68054586.182901666</v>
      </c>
    </row>
    <row r="10" spans="1:9" ht="15.75" customHeight="1" x14ac:dyDescent="0.25">
      <c r="A10" s="7">
        <f t="shared" si="2"/>
        <v>2025</v>
      </c>
      <c r="B10" s="77">
        <v>4664506.1310000001</v>
      </c>
      <c r="C10" s="78">
        <v>11478000</v>
      </c>
      <c r="D10" s="78">
        <v>21974000</v>
      </c>
      <c r="E10" s="78">
        <v>20709000</v>
      </c>
      <c r="F10" s="78">
        <v>19713000</v>
      </c>
      <c r="G10" s="22">
        <f t="shared" si="0"/>
        <v>73874000</v>
      </c>
      <c r="H10" s="22">
        <f t="shared" si="1"/>
        <v>5433219.8013781924</v>
      </c>
      <c r="I10" s="22">
        <f t="shared" si="3"/>
        <v>68440780.198621809</v>
      </c>
    </row>
    <row r="11" spans="1:9" ht="15.75" customHeight="1" x14ac:dyDescent="0.25">
      <c r="A11" s="7">
        <f t="shared" si="2"/>
        <v>2026</v>
      </c>
      <c r="B11" s="77">
        <v>4650134.9664000003</v>
      </c>
      <c r="C11" s="78">
        <v>11544000</v>
      </c>
      <c r="D11" s="78">
        <v>22099000</v>
      </c>
      <c r="E11" s="78">
        <v>20716000</v>
      </c>
      <c r="F11" s="78">
        <v>19873000</v>
      </c>
      <c r="G11" s="22">
        <f t="shared" si="0"/>
        <v>74232000</v>
      </c>
      <c r="H11" s="22">
        <f t="shared" si="1"/>
        <v>5416480.2594244024</v>
      </c>
      <c r="I11" s="22">
        <f t="shared" si="3"/>
        <v>68815519.740575597</v>
      </c>
    </row>
    <row r="12" spans="1:9" ht="15.75" customHeight="1" x14ac:dyDescent="0.25">
      <c r="A12" s="7">
        <f t="shared" si="2"/>
        <v>2027</v>
      </c>
      <c r="B12" s="77">
        <v>4633821.3976000007</v>
      </c>
      <c r="C12" s="78">
        <v>11646000</v>
      </c>
      <c r="D12" s="78">
        <v>22218000</v>
      </c>
      <c r="E12" s="78">
        <v>20745000</v>
      </c>
      <c r="F12" s="78">
        <v>20003000</v>
      </c>
      <c r="G12" s="22">
        <f t="shared" si="0"/>
        <v>74612000</v>
      </c>
      <c r="H12" s="22">
        <f t="shared" si="1"/>
        <v>5397478.203784206</v>
      </c>
      <c r="I12" s="22">
        <f t="shared" si="3"/>
        <v>69214521.796215788</v>
      </c>
    </row>
    <row r="13" spans="1:9" ht="15.75" customHeight="1" x14ac:dyDescent="0.25">
      <c r="A13" s="7">
        <f t="shared" si="2"/>
        <v>2028</v>
      </c>
      <c r="B13" s="77">
        <v>4615603.0158000002</v>
      </c>
      <c r="C13" s="78">
        <v>11761000</v>
      </c>
      <c r="D13" s="78">
        <v>22331000</v>
      </c>
      <c r="E13" s="78">
        <v>20793000</v>
      </c>
      <c r="F13" s="78">
        <v>20105000</v>
      </c>
      <c r="G13" s="22">
        <f t="shared" si="0"/>
        <v>74990000</v>
      </c>
      <c r="H13" s="22">
        <f t="shared" si="1"/>
        <v>5376257.4207120202</v>
      </c>
      <c r="I13" s="22">
        <f t="shared" si="3"/>
        <v>69613742.579287976</v>
      </c>
    </row>
    <row r="14" spans="1:9" ht="15.75" customHeight="1" x14ac:dyDescent="0.25">
      <c r="A14" s="7">
        <f t="shared" si="2"/>
        <v>2029</v>
      </c>
      <c r="B14" s="77">
        <v>4595564.3760000011</v>
      </c>
      <c r="C14" s="78">
        <v>11847000</v>
      </c>
      <c r="D14" s="78">
        <v>22441000</v>
      </c>
      <c r="E14" s="78">
        <v>20856000</v>
      </c>
      <c r="F14" s="78">
        <v>20176000</v>
      </c>
      <c r="G14" s="22">
        <f t="shared" si="0"/>
        <v>75320000</v>
      </c>
      <c r="H14" s="22">
        <f t="shared" si="1"/>
        <v>5352916.3999273172</v>
      </c>
      <c r="I14" s="22">
        <f t="shared" si="3"/>
        <v>69967083.600072682</v>
      </c>
    </row>
    <row r="15" spans="1:9" ht="15.75" customHeight="1" x14ac:dyDescent="0.25">
      <c r="A15" s="7">
        <f t="shared" si="2"/>
        <v>2030</v>
      </c>
      <c r="B15" s="77">
        <v>4573741.4349999996</v>
      </c>
      <c r="C15" s="78">
        <v>11878000</v>
      </c>
      <c r="D15" s="78">
        <v>22547000</v>
      </c>
      <c r="E15" s="78">
        <v>20931000</v>
      </c>
      <c r="F15" s="78">
        <v>20218000</v>
      </c>
      <c r="G15" s="22">
        <f t="shared" si="0"/>
        <v>75574000</v>
      </c>
      <c r="H15" s="22">
        <f t="shared" si="1"/>
        <v>5327497.0239343233</v>
      </c>
      <c r="I15" s="22">
        <f t="shared" si="3"/>
        <v>70246502.97606568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128.12807216173024</v>
      </c>
      <c r="I17" s="22">
        <f t="shared" si="4"/>
        <v>-128.12807216173024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7.5182815249999993E-2</v>
      </c>
    </row>
    <row r="4" spans="1:8" ht="15.75" customHeight="1" x14ac:dyDescent="0.25">
      <c r="B4" s="24" t="s">
        <v>7</v>
      </c>
      <c r="C4" s="79">
        <v>0.1277157716019742</v>
      </c>
    </row>
    <row r="5" spans="1:8" ht="15.75" customHeight="1" x14ac:dyDescent="0.25">
      <c r="B5" s="24" t="s">
        <v>8</v>
      </c>
      <c r="C5" s="79">
        <v>0.10281279474568375</v>
      </c>
    </row>
    <row r="6" spans="1:8" ht="15.75" customHeight="1" x14ac:dyDescent="0.25">
      <c r="B6" s="24" t="s">
        <v>10</v>
      </c>
      <c r="C6" s="79">
        <v>9.0436659218249324E-2</v>
      </c>
    </row>
    <row r="7" spans="1:8" ht="15.75" customHeight="1" x14ac:dyDescent="0.25">
      <c r="B7" s="24" t="s">
        <v>13</v>
      </c>
      <c r="C7" s="79">
        <v>0.16888668003496851</v>
      </c>
    </row>
    <row r="8" spans="1:8" ht="15.75" customHeight="1" x14ac:dyDescent="0.25">
      <c r="B8" s="24" t="s">
        <v>14</v>
      </c>
      <c r="C8" s="79">
        <v>1.5162477161563836E-2</v>
      </c>
    </row>
    <row r="9" spans="1:8" ht="15.75" customHeight="1" x14ac:dyDescent="0.25">
      <c r="B9" s="24" t="s">
        <v>27</v>
      </c>
      <c r="C9" s="79">
        <v>0.14695133017374923</v>
      </c>
    </row>
    <row r="10" spans="1:8" ht="15.75" customHeight="1" x14ac:dyDescent="0.25">
      <c r="B10" s="24" t="s">
        <v>15</v>
      </c>
      <c r="C10" s="79">
        <v>0.27285147181381109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0.20789069754808101</v>
      </c>
      <c r="D14" s="79">
        <v>0.20789069754808101</v>
      </c>
      <c r="E14" s="79">
        <v>0.12255895253249999</v>
      </c>
      <c r="F14" s="79">
        <v>0.12255895253249999</v>
      </c>
    </row>
    <row r="15" spans="1:8" ht="15.75" customHeight="1" x14ac:dyDescent="0.25">
      <c r="B15" s="24" t="s">
        <v>16</v>
      </c>
      <c r="C15" s="79">
        <v>0.200893657398551</v>
      </c>
      <c r="D15" s="79">
        <v>0.200893657398551</v>
      </c>
      <c r="E15" s="79">
        <v>9.4222166180283701E-2</v>
      </c>
      <c r="F15" s="79">
        <v>9.4222166180283701E-2</v>
      </c>
    </row>
    <row r="16" spans="1:8" ht="15.75" customHeight="1" x14ac:dyDescent="0.25">
      <c r="B16" s="24" t="s">
        <v>17</v>
      </c>
      <c r="C16" s="79">
        <v>5.6204984982471701E-2</v>
      </c>
      <c r="D16" s="79">
        <v>5.6204984982471701E-2</v>
      </c>
      <c r="E16" s="79">
        <v>4.0184736843098402E-2</v>
      </c>
      <c r="F16" s="79">
        <v>4.0184736843098402E-2</v>
      </c>
    </row>
    <row r="17" spans="1:8" ht="15.75" customHeight="1" x14ac:dyDescent="0.25">
      <c r="B17" s="24" t="s">
        <v>18</v>
      </c>
      <c r="C17" s="79">
        <v>4.3792378710359098E-2</v>
      </c>
      <c r="D17" s="79">
        <v>4.3792378710359098E-2</v>
      </c>
      <c r="E17" s="79">
        <v>0.14881101752275</v>
      </c>
      <c r="F17" s="79">
        <v>0.14881101752275</v>
      </c>
    </row>
    <row r="18" spans="1:8" ht="15.75" customHeight="1" x14ac:dyDescent="0.25">
      <c r="B18" s="24" t="s">
        <v>19</v>
      </c>
      <c r="C18" s="79">
        <v>6.1685589765928302E-3</v>
      </c>
      <c r="D18" s="79">
        <v>6.1685589765928302E-3</v>
      </c>
      <c r="E18" s="79">
        <v>7.0350068316525002E-3</v>
      </c>
      <c r="F18" s="79">
        <v>7.0350068316525002E-3</v>
      </c>
    </row>
    <row r="19" spans="1:8" ht="15.75" customHeight="1" x14ac:dyDescent="0.25">
      <c r="B19" s="24" t="s">
        <v>20</v>
      </c>
      <c r="C19" s="79">
        <v>2.4545002671595598E-2</v>
      </c>
      <c r="D19" s="79">
        <v>2.4545002671595598E-2</v>
      </c>
      <c r="E19" s="79">
        <v>3.5224829703042602E-2</v>
      </c>
      <c r="F19" s="79">
        <v>3.5224829703042602E-2</v>
      </c>
    </row>
    <row r="20" spans="1:8" ht="15.75" customHeight="1" x14ac:dyDescent="0.25">
      <c r="B20" s="24" t="s">
        <v>21</v>
      </c>
      <c r="C20" s="79">
        <v>5.2988344498005905E-3</v>
      </c>
      <c r="D20" s="79">
        <v>5.2988344498005905E-3</v>
      </c>
      <c r="E20" s="79">
        <v>4.1583560958653593E-2</v>
      </c>
      <c r="F20" s="79">
        <v>4.1583560958653593E-2</v>
      </c>
    </row>
    <row r="21" spans="1:8" ht="15.75" customHeight="1" x14ac:dyDescent="0.25">
      <c r="B21" s="24" t="s">
        <v>22</v>
      </c>
      <c r="C21" s="79">
        <v>5.7128551997201897E-2</v>
      </c>
      <c r="D21" s="79">
        <v>5.7128551997201897E-2</v>
      </c>
      <c r="E21" s="79">
        <v>0.13051925602068901</v>
      </c>
      <c r="F21" s="79">
        <v>0.13051925602068901</v>
      </c>
    </row>
    <row r="22" spans="1:8" ht="15.75" customHeight="1" x14ac:dyDescent="0.25">
      <c r="B22" s="24" t="s">
        <v>23</v>
      </c>
      <c r="C22" s="79">
        <v>0.39807733326534611</v>
      </c>
      <c r="D22" s="79">
        <v>0.39807733326534611</v>
      </c>
      <c r="E22" s="79">
        <v>0.3798604734073302</v>
      </c>
      <c r="F22" s="79">
        <v>0.3798604734073302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4.8000000000000001E-2</v>
      </c>
    </row>
    <row r="27" spans="1:8" ht="15.75" customHeight="1" x14ac:dyDescent="0.25">
      <c r="B27" s="24" t="s">
        <v>39</v>
      </c>
      <c r="C27" s="79">
        <v>1.9199999999999998E-2</v>
      </c>
    </row>
    <row r="28" spans="1:8" ht="15.75" customHeight="1" x14ac:dyDescent="0.25">
      <c r="B28" s="24" t="s">
        <v>40</v>
      </c>
      <c r="C28" s="79">
        <v>0.23149999999999998</v>
      </c>
    </row>
    <row r="29" spans="1:8" ht="15.75" customHeight="1" x14ac:dyDescent="0.25">
      <c r="B29" s="24" t="s">
        <v>41</v>
      </c>
      <c r="C29" s="79">
        <v>0.1389</v>
      </c>
    </row>
    <row r="30" spans="1:8" ht="15.75" customHeight="1" x14ac:dyDescent="0.25">
      <c r="B30" s="24" t="s">
        <v>42</v>
      </c>
      <c r="C30" s="79">
        <v>5.0300000000000004E-2</v>
      </c>
    </row>
    <row r="31" spans="1:8" ht="15.75" customHeight="1" x14ac:dyDescent="0.25">
      <c r="B31" s="24" t="s">
        <v>43</v>
      </c>
      <c r="C31" s="79">
        <v>7.0300000000000001E-2</v>
      </c>
    </row>
    <row r="32" spans="1:8" ht="15.75" customHeight="1" x14ac:dyDescent="0.25">
      <c r="B32" s="24" t="s">
        <v>44</v>
      </c>
      <c r="C32" s="79">
        <v>0.14660000000000001</v>
      </c>
    </row>
    <row r="33" spans="2:3" ht="15.75" customHeight="1" x14ac:dyDescent="0.25">
      <c r="B33" s="24" t="s">
        <v>45</v>
      </c>
      <c r="C33" s="79">
        <v>0.12529999999999999</v>
      </c>
    </row>
    <row r="34" spans="2:3" ht="15.75" customHeight="1" x14ac:dyDescent="0.25">
      <c r="B34" s="24" t="s">
        <v>46</v>
      </c>
      <c r="C34" s="79">
        <v>0.1699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0.61004520087870828</v>
      </c>
      <c r="D2" s="80">
        <v>0.61004520087870828</v>
      </c>
      <c r="E2" s="80">
        <v>0.54815381668795227</v>
      </c>
      <c r="F2" s="80">
        <v>0.3366798795806632</v>
      </c>
      <c r="G2" s="80">
        <v>0.28458649892752413</v>
      </c>
    </row>
    <row r="3" spans="1:15" ht="15.75" customHeight="1" x14ac:dyDescent="0.25">
      <c r="A3" s="5"/>
      <c r="B3" s="11" t="s">
        <v>118</v>
      </c>
      <c r="C3" s="80">
        <v>0.22128095472805059</v>
      </c>
      <c r="D3" s="80">
        <v>0.22128095472805059</v>
      </c>
      <c r="E3" s="80">
        <v>0.24962394997871437</v>
      </c>
      <c r="F3" s="80">
        <v>0.28962834361442141</v>
      </c>
      <c r="G3" s="80">
        <v>0.29512673962854358</v>
      </c>
    </row>
    <row r="4" spans="1:15" ht="15.75" customHeight="1" x14ac:dyDescent="0.25">
      <c r="A4" s="5"/>
      <c r="B4" s="11" t="s">
        <v>116</v>
      </c>
      <c r="C4" s="81">
        <v>0.10064516682027649</v>
      </c>
      <c r="D4" s="81">
        <v>0.10064516682027649</v>
      </c>
      <c r="E4" s="81">
        <v>0.12673835821812596</v>
      </c>
      <c r="F4" s="81">
        <v>0.21526882903225802</v>
      </c>
      <c r="G4" s="81">
        <v>0.24043012073732714</v>
      </c>
    </row>
    <row r="5" spans="1:15" ht="15.75" customHeight="1" x14ac:dyDescent="0.25">
      <c r="A5" s="5"/>
      <c r="B5" s="11" t="s">
        <v>119</v>
      </c>
      <c r="C5" s="81">
        <v>6.8028677572964658E-2</v>
      </c>
      <c r="D5" s="81">
        <v>6.8028677572964658E-2</v>
      </c>
      <c r="E5" s="81">
        <v>7.5483875115207363E-2</v>
      </c>
      <c r="F5" s="81">
        <v>0.15842294777265742</v>
      </c>
      <c r="G5" s="81">
        <v>0.17985664070660518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0.67029894490035169</v>
      </c>
      <c r="D8" s="80">
        <v>0.67029894490035169</v>
      </c>
      <c r="E8" s="80">
        <v>0.65402439024390246</v>
      </c>
      <c r="F8" s="80">
        <v>0.63081221198156678</v>
      </c>
      <c r="G8" s="80">
        <v>0.64091657519209666</v>
      </c>
    </row>
    <row r="9" spans="1:15" ht="15.75" customHeight="1" x14ac:dyDescent="0.25">
      <c r="B9" s="7" t="s">
        <v>121</v>
      </c>
      <c r="C9" s="80">
        <v>0.1947010550996483</v>
      </c>
      <c r="D9" s="80">
        <v>0.1947010550996483</v>
      </c>
      <c r="E9" s="80">
        <v>0.21097560975609755</v>
      </c>
      <c r="F9" s="80">
        <v>0.23418778801843315</v>
      </c>
      <c r="G9" s="80">
        <v>0.22408342480790341</v>
      </c>
    </row>
    <row r="10" spans="1:15" ht="15.75" customHeight="1" x14ac:dyDescent="0.25">
      <c r="B10" s="7" t="s">
        <v>122</v>
      </c>
      <c r="C10" s="81">
        <v>6.8000002000000004E-2</v>
      </c>
      <c r="D10" s="81">
        <v>6.8000002000000004E-2</v>
      </c>
      <c r="E10" s="81">
        <v>6.8000002000000004E-2</v>
      </c>
      <c r="F10" s="81">
        <v>6.8000002000000004E-2</v>
      </c>
      <c r="G10" s="81">
        <v>6.8000002000000004E-2</v>
      </c>
    </row>
    <row r="11" spans="1:15" ht="15.75" customHeight="1" x14ac:dyDescent="0.25">
      <c r="B11" s="7" t="s">
        <v>123</v>
      </c>
      <c r="C11" s="81">
        <v>6.6999997999999991E-2</v>
      </c>
      <c r="D11" s="81">
        <v>6.6999997999999991E-2</v>
      </c>
      <c r="E11" s="81">
        <v>6.6999997999999991E-2</v>
      </c>
      <c r="F11" s="81">
        <v>6.6999997999999991E-2</v>
      </c>
      <c r="G11" s="81">
        <v>6.6999997999999991E-2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0.24620371524999998</v>
      </c>
      <c r="D14" s="82">
        <v>0.26587131715200002</v>
      </c>
      <c r="E14" s="82">
        <v>0.26587131715200002</v>
      </c>
      <c r="F14" s="82">
        <v>0.150404622889</v>
      </c>
      <c r="G14" s="82">
        <v>0.150404622889</v>
      </c>
      <c r="H14" s="83">
        <v>0.61099999999999999</v>
      </c>
      <c r="I14" s="83">
        <v>0.42</v>
      </c>
      <c r="J14" s="83">
        <v>0.42</v>
      </c>
      <c r="K14" s="83">
        <v>0.42</v>
      </c>
      <c r="L14" s="83">
        <v>0.20469650110400001</v>
      </c>
      <c r="M14" s="83">
        <v>0.20967702261549998</v>
      </c>
      <c r="N14" s="83">
        <v>0.21250112475150001</v>
      </c>
      <c r="O14" s="83">
        <v>0.27470668915149998</v>
      </c>
    </row>
    <row r="15" spans="1:15" ht="15.75" customHeight="1" x14ac:dyDescent="0.25">
      <c r="B15" s="16" t="s">
        <v>68</v>
      </c>
      <c r="C15" s="80">
        <f>iron_deficiency_anaemia*C14</f>
        <v>0.14825271834401971</v>
      </c>
      <c r="D15" s="80">
        <f t="shared" ref="D15:O15" si="0">iron_deficiency_anaemia*D14</f>
        <v>0.16009565679163323</v>
      </c>
      <c r="E15" s="80">
        <f t="shared" si="0"/>
        <v>0.16009565679163323</v>
      </c>
      <c r="F15" s="80">
        <f t="shared" si="0"/>
        <v>9.0566846938762505E-2</v>
      </c>
      <c r="G15" s="80">
        <f t="shared" si="0"/>
        <v>9.0566846938762505E-2</v>
      </c>
      <c r="H15" s="80">
        <f t="shared" si="0"/>
        <v>0.36791650693092476</v>
      </c>
      <c r="I15" s="80">
        <f t="shared" si="0"/>
        <v>0.2529049638477715</v>
      </c>
      <c r="J15" s="80">
        <f t="shared" si="0"/>
        <v>0.2529049638477715</v>
      </c>
      <c r="K15" s="80">
        <f t="shared" si="0"/>
        <v>0.2529049638477715</v>
      </c>
      <c r="L15" s="80">
        <f t="shared" si="0"/>
        <v>0.12325895526541057</v>
      </c>
      <c r="M15" s="80">
        <f t="shared" si="0"/>
        <v>0.12625799958162234</v>
      </c>
      <c r="N15" s="80">
        <f t="shared" si="0"/>
        <v>0.1279585458878307</v>
      </c>
      <c r="O15" s="80">
        <f t="shared" si="0"/>
        <v>0.16541591735381217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0.41499999999999998</v>
      </c>
      <c r="D2" s="81">
        <v>0.41499999999999998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4.2000000000000003E-2</v>
      </c>
      <c r="D3" s="81">
        <v>8.199999999999999E-2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0.24600000000000002</v>
      </c>
      <c r="D4" s="81">
        <v>0.24600000000000002</v>
      </c>
      <c r="E4" s="81">
        <v>0.66099999999999992</v>
      </c>
      <c r="F4" s="81">
        <v>0.77800000000000002</v>
      </c>
      <c r="G4" s="81">
        <v>0</v>
      </c>
    </row>
    <row r="5" spans="1:7" x14ac:dyDescent="0.25">
      <c r="B5" s="43" t="s">
        <v>169</v>
      </c>
      <c r="C5" s="80">
        <f>1-SUM(C2:C4)</f>
        <v>0.29700000000000004</v>
      </c>
      <c r="D5" s="80">
        <f>1-SUM(D2:D4)</f>
        <v>0.25700000000000001</v>
      </c>
      <c r="E5" s="80">
        <f>1-SUM(E2:E4)</f>
        <v>0.33900000000000008</v>
      </c>
      <c r="F5" s="80">
        <f>1-SUM(F2:F4)</f>
        <v>0.22199999999999998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0.34311000000000003</v>
      </c>
      <c r="D2" s="144">
        <v>0.33834999999999998</v>
      </c>
      <c r="E2" s="144">
        <v>0.3337</v>
      </c>
      <c r="F2" s="144">
        <v>0.32906999999999997</v>
      </c>
      <c r="G2" s="144">
        <v>0.32469000000000003</v>
      </c>
      <c r="H2" s="144">
        <v>0.32016</v>
      </c>
      <c r="I2" s="144">
        <v>0.31566</v>
      </c>
      <c r="J2" s="144">
        <v>0.31111</v>
      </c>
      <c r="K2" s="144">
        <v>0.30656</v>
      </c>
      <c r="L2" s="144">
        <v>0.30195</v>
      </c>
      <c r="M2" s="144">
        <v>0.29731000000000002</v>
      </c>
      <c r="N2" s="144">
        <v>0.29268</v>
      </c>
      <c r="O2" s="144">
        <v>0.28814000000000001</v>
      </c>
      <c r="P2" s="144">
        <v>0.28369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0.12701999999999999</v>
      </c>
      <c r="D4" s="144">
        <v>0.12537999999999999</v>
      </c>
      <c r="E4" s="144">
        <v>0.12372</v>
      </c>
      <c r="F4" s="144">
        <v>0.12207000000000001</v>
      </c>
      <c r="G4" s="144">
        <v>0.12037</v>
      </c>
      <c r="H4" s="144">
        <v>0.11874999999999999</v>
      </c>
      <c r="I4" s="144">
        <v>0.11715999999999999</v>
      </c>
      <c r="J4" s="144">
        <v>0.11563000000000001</v>
      </c>
      <c r="K4" s="144">
        <v>0.11413000000000001</v>
      </c>
      <c r="L4" s="144">
        <v>0.11269</v>
      </c>
      <c r="M4" s="144">
        <v>0.11130000000000001</v>
      </c>
      <c r="N4" s="144">
        <v>0.10994</v>
      </c>
      <c r="O4" s="144">
        <v>0.10858000000000001</v>
      </c>
      <c r="P4" s="144">
        <v>0.10722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0.10427522660187642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0.26933518428822195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0.13750341155884874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0.41499999999999998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0.73899999999999999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25.983000000000001</v>
      </c>
      <c r="D13" s="143">
        <v>24.518999999999998</v>
      </c>
      <c r="E13" s="143">
        <v>23.488</v>
      </c>
      <c r="F13" s="143">
        <v>22.527000000000001</v>
      </c>
      <c r="G13" s="143">
        <v>21.629000000000001</v>
      </c>
      <c r="H13" s="143">
        <v>20.792000000000002</v>
      </c>
      <c r="I13" s="143">
        <v>20.006</v>
      </c>
      <c r="J13" s="143">
        <v>19.271999999999998</v>
      </c>
      <c r="K13" s="143">
        <v>18.602</v>
      </c>
      <c r="L13" s="143">
        <v>17.954000000000001</v>
      </c>
      <c r="M13" s="143">
        <v>17.384</v>
      </c>
      <c r="N13" s="143">
        <v>16.762</v>
      </c>
      <c r="O13" s="143">
        <v>16.256</v>
      </c>
      <c r="P13" s="143">
        <v>15.747</v>
      </c>
    </row>
    <row r="14" spans="1:16" x14ac:dyDescent="0.25">
      <c r="B14" s="16" t="s">
        <v>170</v>
      </c>
      <c r="C14" s="143">
        <f>maternal_mortality</f>
        <v>1.26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0.106</v>
      </c>
      <c r="E2" s="92">
        <f>food_insecure</f>
        <v>0.106</v>
      </c>
      <c r="F2" s="92">
        <f>food_insecure</f>
        <v>0.106</v>
      </c>
      <c r="G2" s="92">
        <f>food_insecure</f>
        <v>0.106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0.106</v>
      </c>
      <c r="F5" s="92">
        <f>food_insecure</f>
        <v>0.106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0.12061640543903847</v>
      </c>
      <c r="D7" s="92">
        <f>diarrhoea_1_5mo/26</f>
        <v>0.11345505248884614</v>
      </c>
      <c r="E7" s="92">
        <f>diarrhoea_6_11mo/26</f>
        <v>0.11345505248884614</v>
      </c>
      <c r="F7" s="92">
        <f>diarrhoea_12_23mo/26</f>
        <v>8.0990869755769232E-2</v>
      </c>
      <c r="G7" s="92">
        <f>diarrhoea_24_59mo/26</f>
        <v>8.0990869755769232E-2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0.106</v>
      </c>
      <c r="F8" s="92">
        <f>food_insecure</f>
        <v>0.106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0.753</v>
      </c>
      <c r="E9" s="92">
        <f>IF(ISBLANK(comm_deliv), frac_children_health_facility,1)</f>
        <v>0.753</v>
      </c>
      <c r="F9" s="92">
        <f>IF(ISBLANK(comm_deliv), frac_children_health_facility,1)</f>
        <v>0.753</v>
      </c>
      <c r="G9" s="92">
        <f>IF(ISBLANK(comm_deliv), frac_children_health_facility,1)</f>
        <v>0.753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0.12061640543903847</v>
      </c>
      <c r="D11" s="92">
        <f>diarrhoea_1_5mo/26</f>
        <v>0.11345505248884614</v>
      </c>
      <c r="E11" s="92">
        <f>diarrhoea_6_11mo/26</f>
        <v>0.11345505248884614</v>
      </c>
      <c r="F11" s="92">
        <f>diarrhoea_12_23mo/26</f>
        <v>8.0990869755769232E-2</v>
      </c>
      <c r="G11" s="92">
        <f>diarrhoea_24_59mo/26</f>
        <v>8.0990869755769232E-2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0.106</v>
      </c>
      <c r="I14" s="92">
        <f>food_insecure</f>
        <v>0.106</v>
      </c>
      <c r="J14" s="92">
        <f>food_insecure</f>
        <v>0.106</v>
      </c>
      <c r="K14" s="92">
        <f>food_insecure</f>
        <v>0.106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0.83499999999999996</v>
      </c>
      <c r="I17" s="92">
        <f>frac_PW_health_facility</f>
        <v>0.83499999999999996</v>
      </c>
      <c r="J17" s="92">
        <f>frac_PW_health_facility</f>
        <v>0.83499999999999996</v>
      </c>
      <c r="K17" s="92">
        <f>frac_PW_health_facility</f>
        <v>0.83499999999999996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0.10880000000000001</v>
      </c>
      <c r="I18" s="92">
        <f>frac_malaria_risk</f>
        <v>0.10880000000000001</v>
      </c>
      <c r="J18" s="92">
        <f>frac_malaria_risk</f>
        <v>0.10880000000000001</v>
      </c>
      <c r="K18" s="92">
        <f>frac_malaria_risk</f>
        <v>0.10880000000000001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0.11483824763641373</v>
      </c>
      <c r="M24" s="92">
        <f>(1-food_insecure)*(0.49)+food_insecure*(0.7)</f>
        <v>0.51225999999999994</v>
      </c>
      <c r="N24" s="92">
        <f>(1-food_insecure)*(0.49)+food_insecure*(0.7)</f>
        <v>0.51225999999999994</v>
      </c>
      <c r="O24" s="92">
        <f>(1-food_insecure)*(0.49)+food_insecure*(0.7)</f>
        <v>0.51225999999999994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4.9216391844177317E-2</v>
      </c>
      <c r="M25" s="92">
        <f>(1-food_insecure)*(0.21)+food_insecure*(0.3)</f>
        <v>0.21953999999999999</v>
      </c>
      <c r="N25" s="92">
        <f>(1-food_insecure)*(0.21)+food_insecure*(0.3)</f>
        <v>0.21953999999999999</v>
      </c>
      <c r="O25" s="92">
        <f>(1-food_insecure)*(0.21)+food_insecure*(0.3)</f>
        <v>0.21953999999999999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6.0124971725463952E-2</v>
      </c>
      <c r="M26" s="92">
        <f>(1-food_insecure)*(0.3)</f>
        <v>0.26819999999999999</v>
      </c>
      <c r="N26" s="92">
        <f>(1-food_insecure)*(0.3)</f>
        <v>0.26819999999999999</v>
      </c>
      <c r="O26" s="92">
        <f>(1-food_insecure)*(0.3)</f>
        <v>0.26819999999999999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0.77582038879394499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0.10880000000000001</v>
      </c>
      <c r="D33" s="92">
        <f t="shared" si="3"/>
        <v>0.10880000000000001</v>
      </c>
      <c r="E33" s="92">
        <f t="shared" si="3"/>
        <v>0.10880000000000001</v>
      </c>
      <c r="F33" s="92">
        <f t="shared" si="3"/>
        <v>0.10880000000000001</v>
      </c>
      <c r="G33" s="92">
        <f t="shared" si="3"/>
        <v>0.10880000000000001</v>
      </c>
      <c r="H33" s="92">
        <f t="shared" si="3"/>
        <v>0.10880000000000001</v>
      </c>
      <c r="I33" s="92">
        <f t="shared" si="3"/>
        <v>0.10880000000000001</v>
      </c>
      <c r="J33" s="92">
        <f t="shared" si="3"/>
        <v>0.10880000000000001</v>
      </c>
      <c r="K33" s="92">
        <f t="shared" si="3"/>
        <v>0.10880000000000001</v>
      </c>
      <c r="L33" s="92">
        <f t="shared" si="3"/>
        <v>0.10880000000000001</v>
      </c>
      <c r="M33" s="92">
        <f t="shared" si="3"/>
        <v>0.10880000000000001</v>
      </c>
      <c r="N33" s="92">
        <f t="shared" si="3"/>
        <v>0.10880000000000001</v>
      </c>
      <c r="O33" s="92">
        <f t="shared" si="3"/>
        <v>0.10880000000000001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2020-03-24T06:49:26Z</dcterms:modified>
</cp:coreProperties>
</file>