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D65A728B-D320-4C4C-A737-941BB5B8CB69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C7" i="51" s="1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I10" i="2" s="1"/>
  <c r="H11" i="2"/>
  <c r="H12" i="2"/>
  <c r="I12" i="2" s="1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I15" i="2" s="1"/>
  <c r="G2" i="2"/>
  <c r="I18" i="2"/>
  <c r="I32" i="2"/>
  <c r="A3" i="2"/>
  <c r="A24" i="2"/>
  <c r="A18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3" i="2"/>
  <c r="I11" i="2"/>
  <c r="I9" i="2"/>
  <c r="I8" i="2"/>
  <c r="I7" i="2"/>
  <c r="I5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FD0DD701-116F-4D8C-B292-FC14995A55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E6312363-D98D-4EDC-AFBA-2EAF5A35CC6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016C5254-A2E2-4201-868A-3578B126A5C1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E52BCC38-EF88-423C-8B2D-810A7FE4D677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B1070A5F-779F-4FEE-97BD-2B28AC5F2ED0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FE76968B-5743-4065-9C9C-A4AD641C8329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BE0C4967-A21A-488F-B0FB-0A317452DCDF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248D6C17-540E-4F7C-B22D-6995D24D650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425D9693-72F5-4620-A6CB-4BCD5DC6F6A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6BBA12D6-B7C6-46F1-81CC-AF4970BAC5C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982D12A0-E308-4EC8-BC33-ACC4022F4DC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09C1248A-CD09-43FA-98DD-07B0E7BA7E1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5C4B30AE-E528-492F-9207-92B7C9FFF28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7D2FEED1-6DB9-4515-96AA-DED8B4D24D3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66086246-A2AE-47FD-B77F-0FFED67BCC3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B857424E-792A-4BDF-9D43-ECB0E68402C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C22D8AF4-1A74-4D79-9A1F-2309AB0CE93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0BAF27C4-2C76-446A-9D36-68C8F99BC5F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F5EE8B5E-C3BD-490D-B9E0-4BEC15AC9B4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28E54628-22B2-49E7-8E09-D1B76D583F0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F31E27B5-3E02-4F93-BC01-74C8E636902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B2071120-20EF-49AC-931C-E9652A77789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07E38C9D-D29C-4986-9121-1D3DA5D67F65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A7E045BD-EE7D-4C44-ACCB-3DBA30FA24A2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1B93A149-4855-4F6B-B8DA-70CA1A6B9846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92251518-EB61-4BE1-952B-D3AE4AEA5F1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2A39B004-B88E-4DDB-A2CC-C2A7EEEA3C9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C022B1E2-43FC-4EA5-920B-3F0CEC668CDC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438F59C2-442D-4F2F-B880-A7712B1BC3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5CB8BB7A-6DA2-4DC3-8540-9FD12760A2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58750C8B-A307-49CD-B5E4-E899E7FE4F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FFCA30FE-2F1F-4BE5-AE4E-40A2C76D0F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2441BD22-C6B0-40B9-A1AF-EB9DC1A849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CD6792EF-95E4-44FA-873E-882F10A332BF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E3618505-1D4F-4791-9B31-6F3C4DE8437B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9C6272F6-1ECB-4BF9-8369-FF4F3222EC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01149C4B-CA3C-4571-B4B2-F3F9A6E4B9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D3634637-90A3-4F59-A46E-9F2556C85F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47025F06-BA08-445E-ADB8-F2226F4B9E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3FF9A401-54E6-4301-94A9-53DFF38085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6B755450-BB72-4037-8D6E-61E518B623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A202926F-2B16-46E0-B880-89B33D6BC6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A8A4F033-1DC5-44CC-A0E9-E479724225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EE8B96E3-4BF6-4B28-9222-9B2A876E38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56938BC1-6BEA-441D-B87E-E1E1ECE814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02AFCB67-4E74-40EC-823F-C1C402D1D2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2604A885-3B35-406F-B771-8F1A81F429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9E53F1BA-404E-499F-8573-42F56DDB1D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281E3DCA-A9E8-4358-9A11-361A433D16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6A753412-991D-41E2-A5F5-C8D6FCF600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BFA84276-C84C-479B-AEBF-3B4F04A6F3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29CB2E71-7922-406E-A796-F1FF20EB47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38DC2759-91FF-4482-8665-EAD48C5008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E790F8B2-DD5A-460B-93C9-CEF3E9CA27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1F3E1B3A-1C05-4E7A-A6FC-09EFAAE50F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DB163328-AD1F-4526-881C-393D94D79C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DB8AFD45-E7CB-4DC1-B70D-0D78E40C26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D1B3217C-8B12-4DBE-AECB-EF925FF245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46D82B14-3B77-4F6E-929D-5423B8069B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0856BCC2-1009-4B76-9604-BABAE446C6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F252AEEE-50A4-48ED-8160-7DE0BF840F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501C7ECD-56FB-4CCA-82DE-7A3A6609F0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164FB711-94E8-4393-8B83-9F014088E0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E6244280-FD0F-4D90-AF2A-5DA4C702AD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00F329AD-0289-4363-8734-B01F3B1EFC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DC42E407-6551-4FBA-9A26-F60F3B4D0F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57AF1F75-D7FF-43CC-8AE6-C0DD7B8F54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8E06BC13-40BA-43FC-BD58-2D274167F7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C22E96A0-959F-4EF2-BD76-35BECB98CA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8F9A038D-9CB3-4ADA-888B-1A32F6062A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C54E6563-7A64-4547-A849-D3CC140F70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73AF1D6E-65F4-48F9-89A8-338AAE1CBA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D54A0A28-6E70-4044-9786-15D81CB70D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9ED83192-E9FB-431F-8F9E-233BB81899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3BD5E835-9BF4-4E76-87A2-78C339923B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307311A0-12D6-4A43-8DFB-D0276F25F6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0EBE65A5-04DC-4840-9375-8666856961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33E8CC98-48CB-4FCF-A225-A1450B190A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432C2FB2-63DE-4392-B8D5-48D90A45BF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59C28D5A-35A3-474A-818C-1BC9ED4106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93FC9FF7-8E17-44A0-8F98-D2DFB68F7B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986ADB46-04A3-45BA-BDF1-8BBC7334C0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F406F919-55AF-437D-9784-964F5FDECC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37CDC2FB-7880-4798-A3FE-86240B9F2A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9A85CA03-FB91-4F7E-9336-E1F18B30D7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7F96F48F-8914-40B4-9236-2796A3B62E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C1C7C24D-A595-491B-9D7C-EAA3C1E3DA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774452D8-5551-4F26-82D9-46A7EE00DD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7DF1B6C0-F99E-4C5C-9E4E-84E32D582F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3A01E8AB-20B1-45CF-9D8D-1BFB69299D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0BC14661-3857-4A1A-AABE-16C7CC0AE6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571D8B74-2209-438F-BEF4-F44813D738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1E896210-6E8B-4DFE-BB6E-E76BBC3071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A951388D-D1B4-4352-B9F2-296BE20611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A22D8BF9-C37B-4FDA-A011-16964B7E8F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2AC4B161-8BC1-48C5-A47C-D948F385E7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8EFED4BC-885D-41FD-A1BE-E70D4A68E1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110D57D7-173B-485B-8EBC-6149586DCA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8BE99B03-D074-43B4-A92A-414C119F3C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90D68C6D-52C9-45A8-B173-554B6C2052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2843335F-60E1-4AF1-A27B-C52DE39B41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0576E732-BF50-4258-A46C-23FF1731B6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828CCBE8-36EB-4715-8206-406DA6774B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E1C21A19-D3B6-4333-BDA6-97AAD9494D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DD81A306-A5ED-4741-A5C2-D34A4D3225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EBEE2234-2CB3-4DF7-9BD3-4EF2E129F4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CCDA3C4E-CBF0-4978-AE9B-07B6DD8DEA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A7113CC1-280E-40B2-9273-3BE2B63AAE0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F1E75BA1-AFE2-48C2-8B40-2B1242A0A9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9451F9A8-F963-4B90-85EA-2F714A5734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7D5F1BB7-1067-4254-A0D5-5F7D095A79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CB5E8242-F2B9-4F21-A3FD-25E8E8BF77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E8094F45-028A-46E4-9C8B-BB6D8D5454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1C00D020-042C-49EF-B96E-87BC0596281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77C56B6F-4FC9-4184-91A1-F84B40C1101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5CF894A-3F2F-4E3F-B427-331A4C324EB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F29877C1-84DF-4F7B-A9EA-B0D76576E5A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583BE3F8-EBC4-49C7-AC46-394EE3AA670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E76611BD-3F0A-467D-9E00-CC7CB03D8DD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04AD0EEB-37CE-43C9-962B-68E798BAB7D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5006F117-EEDE-4C5E-9EF2-9F6498E827D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368D391C-A215-4C80-A207-FE4EF586607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0FA3609C-CD8A-418B-B826-C07E94D121C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88905188-A203-4EE1-961D-A2B6E81AE19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E2B2FAEE-DAA2-43FB-BFD7-EDD290CD945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C8DF60A6-759F-4057-8403-3A437AAEFA0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7CE4728D-ECE3-4DE3-8949-87EB1D85260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FD39805A-6259-4B6B-BFAF-DB986C88159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ADE4EA8E-B409-464C-B240-9A351A4C58E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69BEB918-445A-4FAA-9360-683F5A55241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EBAEE2D8-294C-427D-8B70-1BB9D253BFF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3137AAC3-9939-48D3-A339-A67346F96A7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47A2E041-3112-4BF2-8369-6B6C66F21CA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D8CD92A8-C4B6-40A2-8D33-E14C49233B5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4558BF17-D257-4C40-B21A-F7463B2A50B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5E8B8146-88BD-4D2D-9DD1-D9A974A053D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A85EB12D-86B4-4249-9A94-CE878D3935A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EB92E107-91DB-4F7A-BB47-CC27FBA8487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9011C7EE-F6A3-4E73-9740-3E043D7F00E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737E9627-F5E3-4134-8026-A881BF21030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A45D2005-3E80-4227-A324-FE14095B128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11FD50D3-7FF4-4ACA-A457-9BF6BDA04A7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0CBF2BEE-A32F-4851-A324-A460E8A747E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3EF9BC1C-B6EF-43BF-A144-7D97ED0948B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2E065056-C964-44CE-B01A-36E004E85D2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E98C558C-FD42-4151-A1BF-58D534E873D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301F88ED-F4AE-444D-9CE1-BB42B64286B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92FF4D53-7036-4503-A709-EAD6CFA112F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6E33D921-3024-43C3-A1A7-27E10820D91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437E191D-10F1-4EA1-80C5-3274B48C3CD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989A87FD-B547-429D-B9BC-BAF53962E7B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05ADCF7D-433D-4734-AD8C-B6D9701F20C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FF0CC177-0B93-4F2F-81C1-A497AF8105A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CE331281-95DB-4C59-A381-1943870A37C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42696CD5-2A61-4A93-8A45-7B8AB88DA2A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C617BBA3-A13F-4E8C-BEE9-F17E3BC3D1A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AD66849C-985C-427B-AA3B-718F526828C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A38608BF-F5F4-41B2-8F8B-E398A5CF02B7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8B582FC-E980-4F04-90A9-E9D35908CD8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3FC4653C-226D-49D9-AF92-FD83627769C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01C852BB-1F71-4520-831A-967EF2699EB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0CBB8D00-2143-45B9-9F2F-CC8C165749F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F306E272-253A-413A-A813-0A06354A8E8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42899B7B-6B6D-4E9C-9A64-8B6B4DD96C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8D6F65F3-6C7A-435C-907F-65D35755E5E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A505C590-11A4-43B5-897A-2B0EDF8B0D6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F6C3BC05-81CB-42EC-B8D3-2B9526A51ED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65DCB7A9-E9B7-4052-9F56-AA18BD68A4A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2F96EFAE-614E-4414-8591-0E282210FBD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8FD46DBD-0C97-4273-A8DD-22CC99CEF8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97DD902A-BF2D-4947-A8E8-E687450D611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473095E1-6C3F-40A9-8F02-F2BC632FF77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F1F68468-79B1-4EDB-BA87-43C14FA1519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979BB513-D4D4-4C35-ABB0-61ADC2AA4C6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A8C633A0-FF13-49C3-A2D3-35FB765DA0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A12BEC7F-04EF-467A-AAA7-6EA8BEF37CB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CC809C25-D255-4436-8117-176FA95AD89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3D90ED86-CDA3-4699-B73A-4A4D69C7540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6DA74FA6-0062-4669-AF35-FBE223F5962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0592407A-FD3A-45AB-8DBA-99090FD85EF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9FF31392-96F5-493B-8160-0DB7729A8B3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8CD397F7-59CC-4D2D-B57B-408038F047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8507FA99-E808-4C70-B9AE-D7AF32BC8AD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ABFA78CC-7DDB-46BA-9246-1A3D51F571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53739C64-2016-489C-AB85-5E6403722F5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98425C7F-E94D-4719-BDA7-22BE7708849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C91DB6A1-4EAD-48AD-99D2-6F126932A13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B366F538-F6A5-4189-A167-120E4243988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08DE6201-9B3A-4B68-B6D8-854100D550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F1A71BC1-B375-4F1D-B572-DF598B8FD44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76C83E3F-B82D-4CA0-AEA1-8D0E89AC719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AB2F46E9-A001-461E-85FB-DE38F9AE0BD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1FD150BD-A0A1-4934-B20C-1F5E050F23A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1810E363-0A5E-424A-98D3-93BDB1AEF14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58500201-722D-4C0C-A8CB-6B8CF82F623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55619B9C-0BE4-4E9A-919D-45432D6335E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CC90FC2A-CC6D-453C-9259-EF5102CE39F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A4D69E3E-4EED-41F9-A06E-E0F33A6CA8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493DB3EB-CB4A-4BB2-9EE5-04B0C86E41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BDB86A73-7084-4C70-9EDC-1902EEDB4CE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F1079118-DD08-409D-B03E-99ECC2E5C96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E3469AFC-DF69-49A5-8B0E-C6FE1A1389E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C18011B9-F5AA-4305-93DC-7153232E9E4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C59F6193-1716-4A0C-82D2-7B1B7C63A25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56C34D0D-F1B1-4723-AA65-2C114E76BD8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C544C02E-9695-40CB-BA3E-D0CA9B36F31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5D469E02-68FF-4497-9928-C979B2C76FB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4D576976-AD6F-41FE-9D3C-F09DD7F4AF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EC54BBCA-EC67-486D-9F68-1EF7CF7A35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E7232068-ED7F-4090-8BEF-4AAC203008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54BC903C-32E3-4AFA-B144-0F86085C11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D864B01E-2BA4-4C54-808E-A8167B5CE9B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120E234A-2FC9-44C9-A8E8-DF08FA1F994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BD490AE8-CB5A-490C-B24D-7FEC27D77F4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F431FA09-E7A3-4A5B-8168-2FD3B4754982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89E46050-63B0-4F8B-A427-DA6B2206C24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1CD3B116-A044-4334-9021-3F6C5BDF51D9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5483F8A2-4B95-4813-B1B2-00DA6710FEE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0C5607FF-D524-4D6A-8221-BB8B6736682F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B2F3271-77B4-443E-88D3-9397499A1C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D5792739-C864-45AD-B349-88E87E7CE5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DE8433EA-D869-46D9-89CC-BEAD0A718F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13057D4A-4298-4E18-BDDB-3AEFA1AABB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A289CDD9-C2EC-4FB7-8F52-45EFA31EC4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0BFA38F1-7AC5-4C9B-8A86-3F84A0F767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5889AB20-557A-4817-B7B5-C8B57E6B12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639FDAB6-1FBD-4082-90A9-13EF9029CF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A052219B-1EF7-48DB-B8F4-C673E11C48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FFD3902D-F50D-49D3-80F0-ADCF9324DD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0799EED2-BB3B-4A23-A12D-C52C96A56A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DFA1ECCD-0A11-4CCA-B3CE-87F2F8397E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4B4CD50E-7285-47AB-9BF2-0A2B38B167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4478C891-631D-42E6-8CF1-8D5A7F56B6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E14765B2-E4DE-4EC5-BF47-D521150F9E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75D65534-3C61-49A9-ADCC-EC1EFF12BB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4EAF67F5-D7CD-40C6-860C-CDA5CCB01B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A3ADF1D4-10B5-4DA3-B52B-F5AF33D3D0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2EE8247C-B4ED-4781-9DFB-C4A6398AFA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6A0916CD-17AE-4AB2-92F5-9E35412581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ECB72C5F-2CB6-4D42-AA1D-4E82673468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B515595A-5D32-44D5-8E10-CA97F864EA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BBEFEF95-4BD2-47D6-8FEA-2DEDFD88EE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A4E55582-3530-4538-B934-B452AB839F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9B0AFB10-772B-4254-A454-36360FE7CF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16121950-1CF0-49E0-B14B-8EBD8F495A7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9B574059-5FD9-4B21-A900-E5A2E3D331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C6765A2F-1A21-464E-953B-898A87FD0A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1E590631-1D05-4981-932C-0FFD84E5AB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AB5E5F51-F0D6-43D7-BA60-BEA144FD66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4D5110FF-2D78-4B44-A671-DCD6BA4DC8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D026BC12-AAB3-4186-9EBE-6705D766AB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E1BCC2D2-CCE1-44F9-B26A-C518F3AA74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89B8FEFB-FC9D-4F09-8000-EC18DB3F8B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7AEB21D0-DDA3-4106-BBA9-B2695FCC96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398F9883-55BA-4ADF-8314-BEEA8B14D2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AD439353-BAC4-4750-BDFD-B33A2A5C4D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9D4D0DAB-1FF4-4DFD-B0F1-A0FDA5DD05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9151654C-4364-4A03-8182-7BCE01FF18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ED2527CB-4644-40B0-9883-C301FB8134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AA06F437-12EE-489B-95F3-A6D56EEEC2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6536FF5F-5922-4783-94CF-5A2918A3EA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6F9E7B2B-C049-4F3B-AA4C-371E4DA785B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693E7416-E61F-43CF-96E9-A621815C17B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101FF78A-F413-4248-8F85-9F496FBE740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6FB4007B-2264-4BDF-8655-107F93F8191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54D91581-0588-46D7-AFDF-EB7000EBBA13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D51E214B-FDB0-4F78-BBF3-CDD6842CF22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4F94FD76-E949-4EF5-9579-1044F4625EA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F35BE31A-5D20-40FC-AC07-7A737496049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C59D0B09-67AC-4D4A-A9EC-D9E39483C9A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7FC53ACD-0349-491E-A21F-94D1DA337DE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EFE43B59-3727-457B-A2BB-20894F28697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F74925E2-B926-4F21-BF71-C8EBD2A8C55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9EBE3ED0-A56C-48F2-8C71-E80B489DABD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5E485965-67F3-4673-B6A6-C60AD311D1F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C61B2986-A52A-4884-A9E8-75999C51993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3B718EC4-47FF-4D48-B59C-A49AD50CDD5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23D8F3A4-91BA-4762-90BD-558A1EB61F3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66F5B952-3AA4-4AD3-961D-EA95D26DC46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9B26E8A4-0333-445E-A0A2-A74BD3F6A22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F7E71D13-DA04-439F-82F8-19B1950266C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A66096E7-7475-44D5-B982-CBE0E169D32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EAE81226-0B0D-4697-8A43-F1DE4FAE66A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A6B1EB37-F343-4DCB-9298-03AC1644ADD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68E76B36-6D81-4B5C-9BCE-9C953576795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E9874A81-C213-4236-80EF-F4E36B5A580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4862DDDC-2EEE-4908-AD2C-089DA1EFEF8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AF4CAA69-B702-48F1-B6CC-B4BEA7176F32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FB4C5A77-27EC-4041-8074-E3E7C9DC679C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7A85B14C-3293-4B85-A154-1AF07756AD4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84FAA6C0-195A-42F4-9AF0-F53A5E04603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CADF5CA5-4125-43DB-93A4-72BA9E646DF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BD84E78A-0CBC-4953-BF2B-C89CD098E9E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9B35B807-5A6D-4902-99A9-C0338627062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474DDC15-9B99-4FC1-95F0-A536A0FAD817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4A6498A4-F032-4CFB-8FD8-83D2FAEA6902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5E654D0B-EFD6-4250-805A-0C8BF1E3B71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A753D42D-0121-48C1-8393-AACBBC916AAC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4B924775-9C2A-41FB-BBC0-CA5AA038499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044ABA13-6F55-48BA-B670-E88F099E33F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EBC9B99B-DF92-4F27-A0B6-4869A0B0CF8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76C8238F-9BD7-4F99-B922-7B483EAEEAA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432296D7-1AE7-449F-9CAA-9BDA889F63A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49C2D79E-7A11-49CD-A628-18C5FC2244F6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79899BC2-35C1-43A3-9913-9C3124DD8B1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EAF5CE4F-A854-4716-8537-3BE0E823404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299A333E-E253-46BC-A935-D5AB93549FAE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DF664C30-1006-41CD-B92E-34A18949CBC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816A8D2A-25EC-41CE-ABBE-23EF7FC6AD0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C4EC36FA-79FD-4A09-9BDA-9A42AB564A2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11562CC0-920D-44DE-9D55-06C6F80B667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AA7E9261-5367-4678-8222-EE51EBA8B6DB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93CA2D5C-5547-4CC0-8A44-9FBE3F3C6E2E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6E4582AB-66B1-427E-AE1B-54FAB6E6E82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5785351C-60A0-4E2A-99F2-513AC389A4A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C5D85638-5F0E-4F2F-BD3D-944D5D4210D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ABF5931C-4FBB-4F4C-8E3C-0AF399ECDAA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1D0A1D5E-53E1-4DB4-A172-AAE555F17C7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08036CF4-BA6B-4F4B-ABDE-1F68B671927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02492614-2312-48EC-A1B0-44DD67046FF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9A2C4001-3FAD-465B-A887-FD3DB44AA68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DEBB4A5D-E1FF-4E31-BDFB-1679BB408823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ED322031-BB3C-4C9A-8A63-8DDC7CAE33E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<sst xmlns="http://schemas.openxmlformats.org/spreadsheetml/2006/main" count="1102" uniqueCount="271">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</sst>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5848752</v>
      </c>
    </row>
    <row r="8" spans="1:3" ht="15" customHeight="1" x14ac:dyDescent="0.25">
      <c r="B8" s="7" t="s">
        <v>106</v>
      </c>
      <c r="C8" s="70">
        <v>0.18899999999999997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0.68451698300000008</v>
      </c>
    </row>
    <row r="11" spans="1:3" ht="15" customHeight="1" x14ac:dyDescent="0.25">
      <c r="B11" s="7" t="s">
        <v>108</v>
      </c>
      <c r="C11" s="70">
        <v>0.496</v>
      </c>
    </row>
    <row r="12" spans="1:3" ht="15" customHeight="1" x14ac:dyDescent="0.25">
      <c r="B12" s="7" t="s">
        <v>109</v>
      </c>
      <c r="C12" s="70">
        <v>0.74400000000000011</v>
      </c>
    </row>
    <row r="13" spans="1:3" ht="15" customHeight="1" x14ac:dyDescent="0.25">
      <c r="B13" s="7" t="s">
        <v>110</v>
      </c>
      <c r="C13" s="70">
        <v>0.40700000000000003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9.7699999999999995E-2</v>
      </c>
    </row>
    <row r="24" spans="1:3" ht="15" customHeight="1" x14ac:dyDescent="0.25">
      <c r="B24" s="20" t="s">
        <v>102</v>
      </c>
      <c r="C24" s="71">
        <v>0.48899999999999999</v>
      </c>
    </row>
    <row r="25" spans="1:3" ht="15" customHeight="1" x14ac:dyDescent="0.25">
      <c r="B25" s="20" t="s">
        <v>103</v>
      </c>
      <c r="C25" s="71">
        <v>0.35960000000000003</v>
      </c>
    </row>
    <row r="26" spans="1:3" ht="15" customHeight="1" x14ac:dyDescent="0.25">
      <c r="B26" s="20" t="s">
        <v>104</v>
      </c>
      <c r="C26" s="71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0.245</v>
      </c>
    </row>
    <row r="30" spans="1:3" ht="14.25" customHeight="1" x14ac:dyDescent="0.25">
      <c r="B30" s="30" t="s">
        <v>76</v>
      </c>
      <c r="C30" s="73">
        <v>7.0999999999999994E-2</v>
      </c>
    </row>
    <row r="31" spans="1:3" ht="14.25" customHeight="1" x14ac:dyDescent="0.25">
      <c r="B31" s="30" t="s">
        <v>77</v>
      </c>
      <c r="C31" s="73">
        <v>0.13400000000000001</v>
      </c>
    </row>
    <row r="32" spans="1:3" ht="14.25" customHeight="1" x14ac:dyDescent="0.25">
      <c r="B32" s="30" t="s">
        <v>78</v>
      </c>
      <c r="C32" s="73">
        <v>0.55000000000000004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17.100000000000001</v>
      </c>
    </row>
    <row r="38" spans="1:5" ht="15" customHeight="1" x14ac:dyDescent="0.25">
      <c r="B38" s="16" t="s">
        <v>91</v>
      </c>
      <c r="C38" s="75">
        <v>25.3</v>
      </c>
      <c r="D38" s="17"/>
      <c r="E38" s="18"/>
    </row>
    <row r="39" spans="1:5" ht="15" customHeight="1" x14ac:dyDescent="0.25">
      <c r="B39" s="16" t="s">
        <v>90</v>
      </c>
      <c r="C39" s="75">
        <v>30.4</v>
      </c>
      <c r="D39" s="17"/>
      <c r="E39" s="17"/>
    </row>
    <row r="40" spans="1:5" ht="15" customHeight="1" x14ac:dyDescent="0.25">
      <c r="B40" s="16" t="s">
        <v>171</v>
      </c>
      <c r="C40" s="75">
        <v>0.5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1.46E-2</v>
      </c>
      <c r="D45" s="17"/>
    </row>
    <row r="46" spans="1:5" ht="15.75" customHeight="1" x14ac:dyDescent="0.25">
      <c r="B46" s="16" t="s">
        <v>11</v>
      </c>
      <c r="C46" s="71">
        <v>5.0900000000000001E-2</v>
      </c>
      <c r="D46" s="17"/>
    </row>
    <row r="47" spans="1:5" ht="15.75" customHeight="1" x14ac:dyDescent="0.25">
      <c r="B47" s="16" t="s">
        <v>12</v>
      </c>
      <c r="C47" s="71">
        <v>0.1202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2.2915220487424923</v>
      </c>
      <c r="D51" s="17"/>
    </row>
    <row r="52" spans="1:4" ht="15" customHeight="1" x14ac:dyDescent="0.25">
      <c r="B52" s="16" t="s">
        <v>125</v>
      </c>
      <c r="C52" s="76">
        <v>1.9043541963999899</v>
      </c>
    </row>
    <row r="53" spans="1:4" ht="15.75" customHeight="1" x14ac:dyDescent="0.25">
      <c r="B53" s="16" t="s">
        <v>126</v>
      </c>
      <c r="C53" s="76">
        <v>1.9043541963999899</v>
      </c>
    </row>
    <row r="54" spans="1:4" ht="15.75" customHeight="1" x14ac:dyDescent="0.25">
      <c r="B54" s="16" t="s">
        <v>127</v>
      </c>
      <c r="C54" s="76">
        <v>1.4258854595899899</v>
      </c>
    </row>
    <row r="55" spans="1:4" ht="15.75" customHeight="1" x14ac:dyDescent="0.25">
      <c r="B55" s="16" t="s">
        <v>128</v>
      </c>
      <c r="C55" s="76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0.50278893986245587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60.999124309244628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39.946692681048077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460.96006935232157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1.0478472456164205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1.5461583955299691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1.5461583955299691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1.5461583955299691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1.5461583955299691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13.078992124843985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13.078992124843985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0.78575792473933481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0.318</v>
      </c>
      <c r="C18" s="85">
        <v>0.95</v>
      </c>
      <c r="D18" s="87">
        <v>10.612768372685165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10.612768372685165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10.612768372685165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14.651964526226051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22.605195111359723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4.3210955878812296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18.641046941214839</v>
      </c>
      <c r="E24" s="86" t="s">
        <v>202</v>
      </c>
    </row>
    <row r="25" spans="1:5" ht="15.75" customHeight="1" x14ac:dyDescent="0.25">
      <c r="A25" s="52" t="s">
        <v>87</v>
      </c>
      <c r="B25" s="85">
        <v>0.307</v>
      </c>
      <c r="C25" s="85">
        <v>0.95</v>
      </c>
      <c r="D25" s="86">
        <v>18.640757485815275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5.3693117356816336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7.7637149245528674</v>
      </c>
      <c r="E27" s="86" t="s">
        <v>202</v>
      </c>
    </row>
    <row r="28" spans="1:5" ht="15.75" customHeight="1" x14ac:dyDescent="0.25">
      <c r="A28" s="52" t="s">
        <v>84</v>
      </c>
      <c r="B28" s="85">
        <v>0.22800000000000001</v>
      </c>
      <c r="C28" s="85">
        <v>0.95</v>
      </c>
      <c r="D28" s="86">
        <v>1.4039921849779295</v>
      </c>
      <c r="E28" s="86" t="s">
        <v>202</v>
      </c>
    </row>
    <row r="29" spans="1:5" ht="15.75" customHeight="1" x14ac:dyDescent="0.25">
      <c r="A29" s="52" t="s">
        <v>58</v>
      </c>
      <c r="B29" s="85">
        <v>0.318</v>
      </c>
      <c r="C29" s="85">
        <v>0.95</v>
      </c>
      <c r="D29" s="86">
        <v>120.42595390331329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2.2583380955776229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1.6940132746746572</v>
      </c>
      <c r="E31" s="86" t="s">
        <v>202</v>
      </c>
    </row>
    <row r="32" spans="1:5" ht="15.75" customHeight="1" x14ac:dyDescent="0.25">
      <c r="A32" s="52" t="s">
        <v>83</v>
      </c>
      <c r="B32" s="85">
        <v>0.92799999999999994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0.193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0.85599999999999998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0.86599999999999999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0.752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1.9E-2</v>
      </c>
      <c r="C37" s="85">
        <v>0.95</v>
      </c>
      <c r="D37" s="86">
        <v>3.1210547735760681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1.7151354807890968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0.1858674974</v>
      </c>
      <c r="C3" s="26">
        <f>frac_mam_1_5months * 2.6</f>
        <v>0.1858674974</v>
      </c>
      <c r="D3" s="26">
        <f>frac_mam_6_11months * 2.6</f>
        <v>0.16206270080000001</v>
      </c>
      <c r="E3" s="26">
        <f>frac_mam_12_23months * 2.6</f>
        <v>8.5501891799999979E-2</v>
      </c>
      <c r="F3" s="26">
        <f>frac_mam_24_59months * 2.6</f>
        <v>7.6982907733333328E-2</v>
      </c>
    </row>
    <row r="4" spans="1:6" ht="15.75" customHeight="1" x14ac:dyDescent="0.25">
      <c r="A4" s="3" t="s">
        <v>66</v>
      </c>
      <c r="B4" s="26">
        <f>frac_sam_1month * 2.6</f>
        <v>0.18952892660000001</v>
      </c>
      <c r="C4" s="26">
        <f>frac_sam_1_5months * 2.6</f>
        <v>0.18952892660000001</v>
      </c>
      <c r="D4" s="26">
        <f>frac_sam_6_11months * 2.6</f>
        <v>8.9980761000000006E-2</v>
      </c>
      <c r="E4" s="26">
        <f>frac_sam_12_23months * 2.6</f>
        <v>5.1998471200000007E-2</v>
      </c>
      <c r="F4" s="26">
        <f>frac_sam_24_59months * 2.6</f>
        <v>5.0011884E-2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1254182.6826240001</v>
      </c>
      <c r="C2" s="78">
        <v>1929138</v>
      </c>
      <c r="D2" s="78">
        <v>3191971</v>
      </c>
      <c r="E2" s="78">
        <v>2409203</v>
      </c>
      <c r="F2" s="78">
        <v>1791626</v>
      </c>
      <c r="G2" s="22">
        <f t="shared" ref="G2:G40" si="0">C2+D2+E2+F2</f>
        <v>9321938</v>
      </c>
      <c r="H2" s="22">
        <f t="shared" ref="H2:H40" si="1">(B2 + stillbirth*B2/(1000-stillbirth))/(1-abortion)</f>
        <v>1464285.7190171804</v>
      </c>
      <c r="I2" s="22">
        <f>G2-H2</f>
        <v>7857652.2809828194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1272596.5466666666</v>
      </c>
      <c r="C3" s="78">
        <v>1963000</v>
      </c>
      <c r="D3" s="78">
        <v>3280000</v>
      </c>
      <c r="E3" s="78">
        <v>2473000</v>
      </c>
      <c r="F3" s="78">
        <v>1849000</v>
      </c>
      <c r="G3" s="22">
        <f t="shared" si="0"/>
        <v>9565000</v>
      </c>
      <c r="H3" s="22">
        <f t="shared" si="1"/>
        <v>1485784.3081168064</v>
      </c>
      <c r="I3" s="22">
        <f t="shared" ref="I3:I15" si="3">G3-H3</f>
        <v>8079215.6918831933</v>
      </c>
    </row>
    <row r="4" spans="1:9" ht="15.75" customHeight="1" x14ac:dyDescent="0.25">
      <c r="A4" s="7">
        <f t="shared" si="2"/>
        <v>2019</v>
      </c>
      <c r="B4" s="77">
        <v>1290328.2186666664</v>
      </c>
      <c r="C4" s="78">
        <v>2000000</v>
      </c>
      <c r="D4" s="78">
        <v>3367000</v>
      </c>
      <c r="E4" s="78">
        <v>2538000</v>
      </c>
      <c r="F4" s="78">
        <v>1904000</v>
      </c>
      <c r="G4" s="22">
        <f t="shared" si="0"/>
        <v>9809000</v>
      </c>
      <c r="H4" s="22">
        <f t="shared" si="1"/>
        <v>1506486.4230826856</v>
      </c>
      <c r="I4" s="22">
        <f t="shared" si="3"/>
        <v>8302513.5769173149</v>
      </c>
    </row>
    <row r="5" spans="1:9" ht="15.75" customHeight="1" x14ac:dyDescent="0.25">
      <c r="A5" s="7">
        <f t="shared" si="2"/>
        <v>2020</v>
      </c>
      <c r="B5" s="77">
        <v>1307759.53</v>
      </c>
      <c r="C5" s="78">
        <v>2044000</v>
      </c>
      <c r="D5" s="78">
        <v>3452000</v>
      </c>
      <c r="E5" s="78">
        <v>2605000</v>
      </c>
      <c r="F5" s="78">
        <v>1959000</v>
      </c>
      <c r="G5" s="22">
        <f t="shared" si="0"/>
        <v>10060000</v>
      </c>
      <c r="H5" s="22">
        <f t="shared" si="1"/>
        <v>1526837.8603994092</v>
      </c>
      <c r="I5" s="22">
        <f t="shared" si="3"/>
        <v>8533162.1396005899</v>
      </c>
    </row>
    <row r="6" spans="1:9" ht="15.75" customHeight="1" x14ac:dyDescent="0.25">
      <c r="A6" s="7">
        <f t="shared" si="2"/>
        <v>2021</v>
      </c>
      <c r="B6" s="77">
        <v>1328198.9952</v>
      </c>
      <c r="C6" s="78">
        <v>2096000</v>
      </c>
      <c r="D6" s="78">
        <v>3538000</v>
      </c>
      <c r="E6" s="78">
        <v>2677000</v>
      </c>
      <c r="F6" s="78">
        <v>2015000</v>
      </c>
      <c r="G6" s="22">
        <f t="shared" si="0"/>
        <v>10326000</v>
      </c>
      <c r="H6" s="22">
        <f t="shared" si="1"/>
        <v>1550701.3831631672</v>
      </c>
      <c r="I6" s="22">
        <f t="shared" si="3"/>
        <v>8775298.6168368328</v>
      </c>
    </row>
    <row r="7" spans="1:9" ht="15.75" customHeight="1" x14ac:dyDescent="0.25">
      <c r="A7" s="7">
        <f t="shared" si="2"/>
        <v>2022</v>
      </c>
      <c r="B7" s="77">
        <v>1348345.8912</v>
      </c>
      <c r="C7" s="78">
        <v>2154000</v>
      </c>
      <c r="D7" s="78">
        <v>3622000</v>
      </c>
      <c r="E7" s="78">
        <v>2750000</v>
      </c>
      <c r="F7" s="78">
        <v>2069000</v>
      </c>
      <c r="G7" s="22">
        <f t="shared" si="0"/>
        <v>10595000</v>
      </c>
      <c r="H7" s="22">
        <f t="shared" si="1"/>
        <v>1574223.3249855519</v>
      </c>
      <c r="I7" s="22">
        <f t="shared" si="3"/>
        <v>9020776.6750144474</v>
      </c>
    </row>
    <row r="8" spans="1:9" ht="15.75" customHeight="1" x14ac:dyDescent="0.25">
      <c r="A8" s="7">
        <f t="shared" si="2"/>
        <v>2023</v>
      </c>
      <c r="B8" s="77">
        <v>1368184.9000000001</v>
      </c>
      <c r="C8" s="78">
        <v>2216000</v>
      </c>
      <c r="D8" s="78">
        <v>3705000</v>
      </c>
      <c r="E8" s="78">
        <v>2825000</v>
      </c>
      <c r="F8" s="78">
        <v>2124000</v>
      </c>
      <c r="G8" s="22">
        <f t="shared" si="0"/>
        <v>10870000</v>
      </c>
      <c r="H8" s="22">
        <f t="shared" si="1"/>
        <v>1597385.801766461</v>
      </c>
      <c r="I8" s="22">
        <f t="shared" si="3"/>
        <v>9272614.1982335392</v>
      </c>
    </row>
    <row r="9" spans="1:9" ht="15.75" customHeight="1" x14ac:dyDescent="0.25">
      <c r="A9" s="7">
        <f t="shared" si="2"/>
        <v>2024</v>
      </c>
      <c r="B9" s="77">
        <v>1387730.8520000002</v>
      </c>
      <c r="C9" s="78">
        <v>2282000</v>
      </c>
      <c r="D9" s="78">
        <v>3790000</v>
      </c>
      <c r="E9" s="78">
        <v>2903000</v>
      </c>
      <c r="F9" s="78">
        <v>2180000</v>
      </c>
      <c r="G9" s="22">
        <f t="shared" si="0"/>
        <v>11155000</v>
      </c>
      <c r="H9" s="22">
        <f t="shared" si="1"/>
        <v>1620206.1283223296</v>
      </c>
      <c r="I9" s="22">
        <f t="shared" si="3"/>
        <v>9534793.8716776706</v>
      </c>
    </row>
    <row r="10" spans="1:9" ht="15.75" customHeight="1" x14ac:dyDescent="0.25">
      <c r="A10" s="7">
        <f t="shared" si="2"/>
        <v>2025</v>
      </c>
      <c r="B10" s="77">
        <v>1406937.6</v>
      </c>
      <c r="C10" s="78">
        <v>2349000</v>
      </c>
      <c r="D10" s="78">
        <v>3878000</v>
      </c>
      <c r="E10" s="78">
        <v>2985000</v>
      </c>
      <c r="F10" s="78">
        <v>2237000</v>
      </c>
      <c r="G10" s="22">
        <f t="shared" si="0"/>
        <v>11449000</v>
      </c>
      <c r="H10" s="22">
        <f t="shared" si="1"/>
        <v>1642630.426787622</v>
      </c>
      <c r="I10" s="22">
        <f t="shared" si="3"/>
        <v>9806369.5732123777</v>
      </c>
    </row>
    <row r="11" spans="1:9" ht="15.75" customHeight="1" x14ac:dyDescent="0.25">
      <c r="A11" s="7">
        <f t="shared" si="2"/>
        <v>2026</v>
      </c>
      <c r="B11" s="77">
        <v>1428934.851</v>
      </c>
      <c r="C11" s="78">
        <v>2418000</v>
      </c>
      <c r="D11" s="78">
        <v>3966000</v>
      </c>
      <c r="E11" s="78">
        <v>3068000</v>
      </c>
      <c r="F11" s="78">
        <v>2294000</v>
      </c>
      <c r="G11" s="22">
        <f t="shared" si="0"/>
        <v>11746000</v>
      </c>
      <c r="H11" s="22">
        <f t="shared" si="1"/>
        <v>1668312.6985516893</v>
      </c>
      <c r="I11" s="22">
        <f t="shared" si="3"/>
        <v>10077687.301448312</v>
      </c>
    </row>
    <row r="12" spans="1:9" ht="15.75" customHeight="1" x14ac:dyDescent="0.25">
      <c r="A12" s="7">
        <f t="shared" si="2"/>
        <v>2027</v>
      </c>
      <c r="B12" s="77">
        <v>1450806.0336</v>
      </c>
      <c r="C12" s="78">
        <v>2490000</v>
      </c>
      <c r="D12" s="78">
        <v>4056000</v>
      </c>
      <c r="E12" s="78">
        <v>3153000</v>
      </c>
      <c r="F12" s="78">
        <v>2355000</v>
      </c>
      <c r="G12" s="22">
        <f t="shared" si="0"/>
        <v>12054000</v>
      </c>
      <c r="H12" s="22">
        <f t="shared" si="1"/>
        <v>1693847.7827008283</v>
      </c>
      <c r="I12" s="22">
        <f t="shared" si="3"/>
        <v>10360152.217299171</v>
      </c>
    </row>
    <row r="13" spans="1:9" ht="15.75" customHeight="1" x14ac:dyDescent="0.25">
      <c r="A13" s="7">
        <f t="shared" si="2"/>
        <v>2028</v>
      </c>
      <c r="B13" s="77">
        <v>1472507.2943999998</v>
      </c>
      <c r="C13" s="78">
        <v>2562000</v>
      </c>
      <c r="D13" s="78">
        <v>4151000</v>
      </c>
      <c r="E13" s="78">
        <v>3241000</v>
      </c>
      <c r="F13" s="78">
        <v>2417000</v>
      </c>
      <c r="G13" s="22">
        <f t="shared" si="0"/>
        <v>12371000</v>
      </c>
      <c r="H13" s="22">
        <f t="shared" si="1"/>
        <v>1719184.4794311831</v>
      </c>
      <c r="I13" s="22">
        <f t="shared" si="3"/>
        <v>10651815.520568818</v>
      </c>
    </row>
    <row r="14" spans="1:9" ht="15.75" customHeight="1" x14ac:dyDescent="0.25">
      <c r="A14" s="7">
        <f t="shared" si="2"/>
        <v>2029</v>
      </c>
      <c r="B14" s="77">
        <v>1493995.8815999997</v>
      </c>
      <c r="C14" s="78">
        <v>2630000</v>
      </c>
      <c r="D14" s="78">
        <v>4253000</v>
      </c>
      <c r="E14" s="78">
        <v>3328000</v>
      </c>
      <c r="F14" s="78">
        <v>2482000</v>
      </c>
      <c r="G14" s="22">
        <f t="shared" si="0"/>
        <v>12693000</v>
      </c>
      <c r="H14" s="22">
        <f t="shared" si="1"/>
        <v>1744272.8750809967</v>
      </c>
      <c r="I14" s="22">
        <f t="shared" si="3"/>
        <v>10948727.124919003</v>
      </c>
    </row>
    <row r="15" spans="1:9" ht="15.75" customHeight="1" x14ac:dyDescent="0.25">
      <c r="A15" s="7">
        <f t="shared" si="2"/>
        <v>2030</v>
      </c>
      <c r="B15" s="77">
        <v>1515315.4380000001</v>
      </c>
      <c r="C15" s="78">
        <v>2693000</v>
      </c>
      <c r="D15" s="78">
        <v>4364000</v>
      </c>
      <c r="E15" s="78">
        <v>3413000</v>
      </c>
      <c r="F15" s="78">
        <v>2550000</v>
      </c>
      <c r="G15" s="22">
        <f t="shared" si="0"/>
        <v>13020000</v>
      </c>
      <c r="H15" s="22">
        <f t="shared" si="1"/>
        <v>1769163.9235740181</v>
      </c>
      <c r="I15" s="22">
        <f t="shared" si="3"/>
        <v>11250836.076425983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128.42740640852759</v>
      </c>
      <c r="I17" s="22">
        <f t="shared" si="4"/>
        <v>-128.42740640852759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7.2296139999999997E-3</v>
      </c>
    </row>
    <row r="4" spans="1:8" ht="15.75" customHeight="1" x14ac:dyDescent="0.25">
      <c r="B4" s="24" t="s">
        <v>7</v>
      </c>
      <c r="C4" s="79">
        <v>0.26127122831673022</v>
      </c>
    </row>
    <row r="5" spans="1:8" ht="15.75" customHeight="1" x14ac:dyDescent="0.25">
      <c r="B5" s="24" t="s">
        <v>8</v>
      </c>
      <c r="C5" s="79">
        <v>4.0568791329211651E-2</v>
      </c>
    </row>
    <row r="6" spans="1:8" ht="15.75" customHeight="1" x14ac:dyDescent="0.25">
      <c r="B6" s="24" t="s">
        <v>10</v>
      </c>
      <c r="C6" s="79">
        <v>6.708827217980283E-2</v>
      </c>
    </row>
    <row r="7" spans="1:8" ht="15.75" customHeight="1" x14ac:dyDescent="0.25">
      <c r="B7" s="24" t="s">
        <v>13</v>
      </c>
      <c r="C7" s="79">
        <v>0.29604323149466177</v>
      </c>
    </row>
    <row r="8" spans="1:8" ht="15.75" customHeight="1" x14ac:dyDescent="0.25">
      <c r="B8" s="24" t="s">
        <v>14</v>
      </c>
      <c r="C8" s="79">
        <v>1.0025585715690204E-3</v>
      </c>
    </row>
    <row r="9" spans="1:8" ht="15.75" customHeight="1" x14ac:dyDescent="0.25">
      <c r="B9" s="24" t="s">
        <v>27</v>
      </c>
      <c r="C9" s="79">
        <v>0.19285885124315275</v>
      </c>
    </row>
    <row r="10" spans="1:8" ht="15.75" customHeight="1" x14ac:dyDescent="0.25">
      <c r="B10" s="24" t="s">
        <v>15</v>
      </c>
      <c r="C10" s="79">
        <v>0.1339374528648718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4.9217875606957798E-2</v>
      </c>
      <c r="D14" s="79">
        <v>4.9217875606957798E-2</v>
      </c>
      <c r="E14" s="79">
        <v>1.4096218896586001E-2</v>
      </c>
      <c r="F14" s="79">
        <v>1.4096218896586001E-2</v>
      </c>
    </row>
    <row r="15" spans="1:8" ht="15.75" customHeight="1" x14ac:dyDescent="0.25">
      <c r="B15" s="24" t="s">
        <v>16</v>
      </c>
      <c r="C15" s="79">
        <v>0.152053246713655</v>
      </c>
      <c r="D15" s="79">
        <v>0.152053246713655</v>
      </c>
      <c r="E15" s="79">
        <v>6.2476947084797098E-2</v>
      </c>
      <c r="F15" s="79">
        <v>6.2476947084797098E-2</v>
      </c>
    </row>
    <row r="16" spans="1:8" ht="15.75" customHeight="1" x14ac:dyDescent="0.25">
      <c r="B16" s="24" t="s">
        <v>17</v>
      </c>
      <c r="C16" s="79">
        <v>4.1731460513417702E-2</v>
      </c>
      <c r="D16" s="79">
        <v>4.1731460513417702E-2</v>
      </c>
      <c r="E16" s="79">
        <v>2.29179965877318E-2</v>
      </c>
      <c r="F16" s="79">
        <v>2.29179965877318E-2</v>
      </c>
    </row>
    <row r="17" spans="1:8" ht="15.75" customHeight="1" x14ac:dyDescent="0.25">
      <c r="B17" s="24" t="s">
        <v>18</v>
      </c>
      <c r="C17" s="79">
        <v>4.8050547897539701E-3</v>
      </c>
      <c r="D17" s="79">
        <v>4.8050547897539701E-3</v>
      </c>
      <c r="E17" s="79">
        <v>1.3795268730521998E-2</v>
      </c>
      <c r="F17" s="79">
        <v>1.3795268730521998E-2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2.2245632388376301E-2</v>
      </c>
      <c r="D19" s="79">
        <v>2.2245632388376301E-2</v>
      </c>
      <c r="E19" s="79">
        <v>2.63668187425323E-2</v>
      </c>
      <c r="F19" s="79">
        <v>2.63668187425323E-2</v>
      </c>
    </row>
    <row r="20" spans="1:8" ht="15.75" customHeight="1" x14ac:dyDescent="0.25">
      <c r="B20" s="24" t="s">
        <v>21</v>
      </c>
      <c r="C20" s="79">
        <v>9.8894583595849099E-4</v>
      </c>
      <c r="D20" s="79">
        <v>9.8894583595849099E-4</v>
      </c>
      <c r="E20" s="79">
        <v>4.9711515652748096E-3</v>
      </c>
      <c r="F20" s="79">
        <v>4.9711515652748096E-3</v>
      </c>
    </row>
    <row r="21" spans="1:8" ht="15.75" customHeight="1" x14ac:dyDescent="0.25">
      <c r="B21" s="24" t="s">
        <v>22</v>
      </c>
      <c r="C21" s="79">
        <v>0.123142502327191</v>
      </c>
      <c r="D21" s="79">
        <v>0.123142502327191</v>
      </c>
      <c r="E21" s="79">
        <v>0.58985470788930505</v>
      </c>
      <c r="F21" s="79">
        <v>0.58985470788930505</v>
      </c>
    </row>
    <row r="22" spans="1:8" ht="15.75" customHeight="1" x14ac:dyDescent="0.25">
      <c r="B22" s="24" t="s">
        <v>23</v>
      </c>
      <c r="C22" s="79">
        <v>0.6058152818246898</v>
      </c>
      <c r="D22" s="79">
        <v>0.6058152818246898</v>
      </c>
      <c r="E22" s="79">
        <v>0.26552089050325089</v>
      </c>
      <c r="F22" s="79">
        <v>0.26552089050325089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7.1500000000000008E-2</v>
      </c>
    </row>
    <row r="27" spans="1:8" ht="15.75" customHeight="1" x14ac:dyDescent="0.25">
      <c r="B27" s="24" t="s">
        <v>39</v>
      </c>
      <c r="C27" s="79">
        <v>2.46E-2</v>
      </c>
    </row>
    <row r="28" spans="1:8" ht="15.75" customHeight="1" x14ac:dyDescent="0.25">
      <c r="B28" s="24" t="s">
        <v>40</v>
      </c>
      <c r="C28" s="79">
        <v>0.30049999999999999</v>
      </c>
    </row>
    <row r="29" spans="1:8" ht="15.75" customHeight="1" x14ac:dyDescent="0.25">
      <c r="B29" s="24" t="s">
        <v>41</v>
      </c>
      <c r="C29" s="79">
        <v>0.10580000000000001</v>
      </c>
    </row>
    <row r="30" spans="1:8" ht="15.75" customHeight="1" x14ac:dyDescent="0.25">
      <c r="B30" s="24" t="s">
        <v>42</v>
      </c>
      <c r="C30" s="79">
        <v>3.6299999999999999E-2</v>
      </c>
    </row>
    <row r="31" spans="1:8" ht="15.75" customHeight="1" x14ac:dyDescent="0.25">
      <c r="B31" s="24" t="s">
        <v>43</v>
      </c>
      <c r="C31" s="79">
        <v>4.1599999999999998E-2</v>
      </c>
    </row>
    <row r="32" spans="1:8" ht="15.75" customHeight="1" x14ac:dyDescent="0.25">
      <c r="B32" s="24" t="s">
        <v>44</v>
      </c>
      <c r="C32" s="79">
        <v>9.9900000000000003E-2</v>
      </c>
    </row>
    <row r="33" spans="2:3" ht="15.75" customHeight="1" x14ac:dyDescent="0.25">
      <c r="B33" s="24" t="s">
        <v>45</v>
      </c>
      <c r="C33" s="79">
        <v>9.6600000000000005E-2</v>
      </c>
    </row>
    <row r="34" spans="2:3" ht="15.75" customHeight="1" x14ac:dyDescent="0.25">
      <c r="B34" s="24" t="s">
        <v>46</v>
      </c>
      <c r="C34" s="79">
        <v>0.22320000000000001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0.60349529759902498</v>
      </c>
      <c r="D2" s="80">
        <v>0.60349529759902498</v>
      </c>
      <c r="E2" s="80">
        <v>0.61417405366289368</v>
      </c>
      <c r="F2" s="80">
        <v>0.49429675197279266</v>
      </c>
      <c r="G2" s="80">
        <v>0.4807948347187343</v>
      </c>
    </row>
    <row r="3" spans="1:15" ht="15.75" customHeight="1" x14ac:dyDescent="0.25">
      <c r="A3" s="5"/>
      <c r="B3" s="11" t="s">
        <v>118</v>
      </c>
      <c r="C3" s="80">
        <v>0.18423536312841524</v>
      </c>
      <c r="D3" s="80">
        <v>0.18423536312841524</v>
      </c>
      <c r="E3" s="80">
        <v>0.15933760826159976</v>
      </c>
      <c r="F3" s="80">
        <v>0.24366741294433439</v>
      </c>
      <c r="G3" s="80">
        <v>0.25716933019839278</v>
      </c>
    </row>
    <row r="4" spans="1:15" ht="15.75" customHeight="1" x14ac:dyDescent="0.25">
      <c r="A4" s="5"/>
      <c r="B4" s="11" t="s">
        <v>116</v>
      </c>
      <c r="C4" s="81">
        <v>0.12492406091160224</v>
      </c>
      <c r="D4" s="81">
        <v>0.12492406091160224</v>
      </c>
      <c r="E4" s="81">
        <v>0.12492406091160224</v>
      </c>
      <c r="F4" s="81">
        <v>0.1452369163443831</v>
      </c>
      <c r="G4" s="81">
        <v>0.1452369163443831</v>
      </c>
    </row>
    <row r="5" spans="1:15" ht="15.75" customHeight="1" x14ac:dyDescent="0.25">
      <c r="A5" s="5"/>
      <c r="B5" s="11" t="s">
        <v>119</v>
      </c>
      <c r="C5" s="81">
        <v>8.7345278360957651E-2</v>
      </c>
      <c r="D5" s="81">
        <v>8.7345278360957651E-2</v>
      </c>
      <c r="E5" s="81">
        <v>0.10156427716390426</v>
      </c>
      <c r="F5" s="81">
        <v>0.11679891873848988</v>
      </c>
      <c r="G5" s="81">
        <v>0.11679891873848988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0.7231405911059372</v>
      </c>
      <c r="D8" s="80">
        <v>0.7231405911059372</v>
      </c>
      <c r="E8" s="80">
        <v>0.78618183950110621</v>
      </c>
      <c r="F8" s="80">
        <v>0.85719924072784814</v>
      </c>
      <c r="G8" s="80">
        <v>0.8611411001850684</v>
      </c>
    </row>
    <row r="9" spans="1:15" ht="15.75" customHeight="1" x14ac:dyDescent="0.25">
      <c r="B9" s="7" t="s">
        <v>121</v>
      </c>
      <c r="C9" s="80">
        <v>0.13247616889406288</v>
      </c>
      <c r="D9" s="80">
        <v>0.13247616889406288</v>
      </c>
      <c r="E9" s="80">
        <v>0.1168783674988938</v>
      </c>
      <c r="F9" s="80">
        <v>8.9916004272151906E-2</v>
      </c>
      <c r="G9" s="80">
        <v>9.0014749148264989E-2</v>
      </c>
    </row>
    <row r="10" spans="1:15" ht="15.75" customHeight="1" x14ac:dyDescent="0.25">
      <c r="B10" s="7" t="s">
        <v>122</v>
      </c>
      <c r="C10" s="81">
        <v>7.1487498999999996E-2</v>
      </c>
      <c r="D10" s="81">
        <v>7.1487498999999996E-2</v>
      </c>
      <c r="E10" s="81">
        <v>6.2331808000000002E-2</v>
      </c>
      <c r="F10" s="81">
        <v>3.288534299999999E-2</v>
      </c>
      <c r="G10" s="81">
        <v>2.9608810666666666E-2</v>
      </c>
    </row>
    <row r="11" spans="1:15" ht="15.75" customHeight="1" x14ac:dyDescent="0.25">
      <c r="B11" s="7" t="s">
        <v>123</v>
      </c>
      <c r="C11" s="81">
        <v>7.2895741E-2</v>
      </c>
      <c r="D11" s="81">
        <v>7.2895741E-2</v>
      </c>
      <c r="E11" s="81">
        <v>3.4607985000000001E-2</v>
      </c>
      <c r="F11" s="81">
        <v>1.9999412000000001E-2</v>
      </c>
      <c r="G11" s="81">
        <v>1.923534E-2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0.54937793849999994</v>
      </c>
      <c r="D14" s="82">
        <v>0.54968166127100004</v>
      </c>
      <c r="E14" s="82">
        <v>0.54968166127100004</v>
      </c>
      <c r="F14" s="82">
        <v>0.41497549182100002</v>
      </c>
      <c r="G14" s="82">
        <v>0.41497549182100002</v>
      </c>
      <c r="H14" s="83">
        <v>0.33500000000000002</v>
      </c>
      <c r="I14" s="83">
        <v>0.33500000000000002</v>
      </c>
      <c r="J14" s="83">
        <v>0.33500000000000002</v>
      </c>
      <c r="K14" s="83">
        <v>0.33500000000000002</v>
      </c>
      <c r="L14" s="83">
        <v>0.153939867891</v>
      </c>
      <c r="M14" s="83">
        <v>0.17977713967600001</v>
      </c>
      <c r="N14" s="83">
        <v>0.18490348924299999</v>
      </c>
      <c r="O14" s="83">
        <v>0.25343527465299998</v>
      </c>
    </row>
    <row r="15" spans="1:15" ht="15.75" customHeight="1" x14ac:dyDescent="0.25">
      <c r="B15" s="16" t="s">
        <v>68</v>
      </c>
      <c r="C15" s="80">
        <f>iron_deficiency_anaemia*C14</f>
        <v>0.27622115128223645</v>
      </c>
      <c r="D15" s="80">
        <f t="shared" ref="D15:O15" si="0">iron_deficiency_anaemia*D14</f>
        <v>0.27637385973227968</v>
      </c>
      <c r="E15" s="80">
        <f t="shared" si="0"/>
        <v>0.27637385973227968</v>
      </c>
      <c r="F15" s="80">
        <f t="shared" si="0"/>
        <v>0.20864508760158182</v>
      </c>
      <c r="G15" s="80">
        <f t="shared" si="0"/>
        <v>0.20864508760158182</v>
      </c>
      <c r="H15" s="80">
        <f t="shared" si="0"/>
        <v>0.16843429485392272</v>
      </c>
      <c r="I15" s="80">
        <f t="shared" si="0"/>
        <v>0.16843429485392272</v>
      </c>
      <c r="J15" s="80">
        <f t="shared" si="0"/>
        <v>0.16843429485392272</v>
      </c>
      <c r="K15" s="80">
        <f t="shared" si="0"/>
        <v>0.16843429485392272</v>
      </c>
      <c r="L15" s="80">
        <f t="shared" si="0"/>
        <v>7.7399262979482408E-2</v>
      </c>
      <c r="M15" s="80">
        <f t="shared" si="0"/>
        <v>9.0389957469200699E-2</v>
      </c>
      <c r="N15" s="80">
        <f t="shared" si="0"/>
        <v>9.2967429333356971E-2</v>
      </c>
      <c r="O15" s="80">
        <f t="shared" si="0"/>
        <v>0.12742445306653219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0.35899999999999999</v>
      </c>
      <c r="D2" s="81">
        <v>0.16300000000000001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0.27899999999999997</v>
      </c>
      <c r="D3" s="81">
        <v>0.26100000000000001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0.26500000000000001</v>
      </c>
      <c r="D4" s="81">
        <v>0.38600000000000001</v>
      </c>
      <c r="E4" s="81">
        <v>0.65900000000000003</v>
      </c>
      <c r="F4" s="81">
        <v>0.375</v>
      </c>
      <c r="G4" s="81">
        <v>0</v>
      </c>
    </row>
    <row r="5" spans="1:7" x14ac:dyDescent="0.25">
      <c r="B5" s="43" t="s">
        <v>169</v>
      </c>
      <c r="C5" s="80">
        <f>1-SUM(C2:C4)</f>
        <v>9.7000000000000086E-2</v>
      </c>
      <c r="D5" s="80">
        <f>1-SUM(D2:D4)</f>
        <v>0.18999999999999995</v>
      </c>
      <c r="E5" s="80">
        <f>1-SUM(E2:E4)</f>
        <v>0.34099999999999997</v>
      </c>
      <c r="F5" s="80">
        <f>1-SUM(F2:F4)</f>
        <v>0.625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0.21425999999999998</v>
      </c>
      <c r="D2" s="144">
        <v>0.20923999999999998</v>
      </c>
      <c r="E2" s="144">
        <v>0.20416000000000001</v>
      </c>
      <c r="F2" s="144">
        <v>0.19911000000000001</v>
      </c>
      <c r="G2" s="144">
        <v>0.19403999999999999</v>
      </c>
      <c r="H2" s="144">
        <v>0.19011</v>
      </c>
      <c r="I2" s="144">
        <v>0.18626000000000001</v>
      </c>
      <c r="J2" s="144">
        <v>0.18248</v>
      </c>
      <c r="K2" s="144">
        <v>0.17876999999999998</v>
      </c>
      <c r="L2" s="144">
        <v>0.17512</v>
      </c>
      <c r="M2" s="144">
        <v>0.17152000000000001</v>
      </c>
      <c r="N2" s="144">
        <v>0.16800000000000001</v>
      </c>
      <c r="O2" s="144">
        <v>0.16454999999999997</v>
      </c>
      <c r="P2" s="144">
        <v>0.16120000000000001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6.2839999999999993E-2</v>
      </c>
      <c r="D4" s="144">
        <v>6.2210000000000001E-2</v>
      </c>
      <c r="E4" s="144">
        <v>6.164E-2</v>
      </c>
      <c r="F4" s="144">
        <v>6.1100000000000002E-2</v>
      </c>
      <c r="G4" s="144">
        <v>6.0590000000000005E-2</v>
      </c>
      <c r="H4" s="144">
        <v>5.9740000000000001E-2</v>
      </c>
      <c r="I4" s="144">
        <v>5.8899999999999994E-2</v>
      </c>
      <c r="J4" s="144">
        <v>5.8090000000000003E-2</v>
      </c>
      <c r="K4" s="144">
        <v>5.7300000000000004E-2</v>
      </c>
      <c r="L4" s="144">
        <v>5.654E-2</v>
      </c>
      <c r="M4" s="144">
        <v>5.5800000000000002E-2</v>
      </c>
      <c r="N4" s="144">
        <v>5.5069999999999994E-2</v>
      </c>
      <c r="O4" s="144">
        <v>5.4359999999999999E-2</v>
      </c>
      <c r="P4" s="144">
        <v>5.3659999999999999E-2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0.22218829688688732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0.16843429485392272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9.985184895966602E-2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0.19566666666666666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0.46966666666666668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25.071999999999999</v>
      </c>
      <c r="D13" s="143">
        <v>24.616</v>
      </c>
      <c r="E13" s="143">
        <v>23.712</v>
      </c>
      <c r="F13" s="143">
        <v>23.486000000000001</v>
      </c>
      <c r="G13" s="143">
        <v>22.684000000000001</v>
      </c>
      <c r="H13" s="143">
        <v>22.186</v>
      </c>
      <c r="I13" s="143">
        <v>21.495000000000001</v>
      </c>
      <c r="J13" s="143">
        <v>21.074999999999999</v>
      </c>
      <c r="K13" s="143">
        <v>20.535</v>
      </c>
      <c r="L13" s="143">
        <v>19.916</v>
      </c>
      <c r="M13" s="143">
        <v>20.707000000000001</v>
      </c>
      <c r="N13" s="143">
        <v>18.702999999999999</v>
      </c>
      <c r="O13" s="143">
        <v>18.972000000000001</v>
      </c>
      <c r="P13" s="143">
        <v>18.706</v>
      </c>
    </row>
    <row r="14" spans="1:16" x14ac:dyDescent="0.25">
      <c r="B14" s="16" t="s">
        <v>170</v>
      </c>
      <c r="C14" s="143">
        <f>maternal_mortality</f>
        <v>0.5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0.18899999999999997</v>
      </c>
      <c r="E2" s="92">
        <f>food_insecure</f>
        <v>0.18899999999999997</v>
      </c>
      <c r="F2" s="92">
        <f>food_insecure</f>
        <v>0.18899999999999997</v>
      </c>
      <c r="G2" s="92">
        <f>food_insecure</f>
        <v>0.18899999999999997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0.18899999999999997</v>
      </c>
      <c r="F5" s="92">
        <f>food_insecure</f>
        <v>0.18899999999999997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8.8135463413172785E-2</v>
      </c>
      <c r="D7" s="92">
        <f>diarrhoea_1_5mo/26</f>
        <v>7.3244392169230385E-2</v>
      </c>
      <c r="E7" s="92">
        <f>diarrhoea_6_11mo/26</f>
        <v>7.3244392169230385E-2</v>
      </c>
      <c r="F7" s="92">
        <f>diarrhoea_12_23mo/26</f>
        <v>5.4841748445768841E-2</v>
      </c>
      <c r="G7" s="92">
        <f>diarrhoea_24_59mo/26</f>
        <v>5.4841748445768841E-2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0.18899999999999997</v>
      </c>
      <c r="F8" s="92">
        <f>food_insecure</f>
        <v>0.18899999999999997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0.74400000000000011</v>
      </c>
      <c r="E9" s="92">
        <f>IF(ISBLANK(comm_deliv), frac_children_health_facility,1)</f>
        <v>0.74400000000000011</v>
      </c>
      <c r="F9" s="92">
        <f>IF(ISBLANK(comm_deliv), frac_children_health_facility,1)</f>
        <v>0.74400000000000011</v>
      </c>
      <c r="G9" s="92">
        <f>IF(ISBLANK(comm_deliv), frac_children_health_facility,1)</f>
        <v>0.74400000000000011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8.8135463413172785E-2</v>
      </c>
      <c r="D11" s="92">
        <f>diarrhoea_1_5mo/26</f>
        <v>7.3244392169230385E-2</v>
      </c>
      <c r="E11" s="92">
        <f>diarrhoea_6_11mo/26</f>
        <v>7.3244392169230385E-2</v>
      </c>
      <c r="F11" s="92">
        <f>diarrhoea_12_23mo/26</f>
        <v>5.4841748445768841E-2</v>
      </c>
      <c r="G11" s="92">
        <f>diarrhoea_24_59mo/26</f>
        <v>5.4841748445768841E-2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0.18899999999999997</v>
      </c>
      <c r="I14" s="92">
        <f>food_insecure</f>
        <v>0.18899999999999997</v>
      </c>
      <c r="J14" s="92">
        <f>food_insecure</f>
        <v>0.18899999999999997</v>
      </c>
      <c r="K14" s="92">
        <f>food_insecure</f>
        <v>0.18899999999999997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0.496</v>
      </c>
      <c r="I17" s="92">
        <f>frac_PW_health_facility</f>
        <v>0.496</v>
      </c>
      <c r="J17" s="92">
        <f>frac_PW_health_facility</f>
        <v>0.496</v>
      </c>
      <c r="K17" s="92">
        <f>frac_PW_health_facility</f>
        <v>0.496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0.40700000000000003</v>
      </c>
      <c r="M23" s="92">
        <f>famplan_unmet_need</f>
        <v>0.40700000000000003</v>
      </c>
      <c r="N23" s="92">
        <f>famplan_unmet_need</f>
        <v>0.40700000000000003</v>
      </c>
      <c r="O23" s="92">
        <f>famplan_unmet_need</f>
        <v>0.40700000000000003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0.16710819927472997</v>
      </c>
      <c r="M24" s="92">
        <f>(1-food_insecure)*(0.49)+food_insecure*(0.7)</f>
        <v>0.52968999999999999</v>
      </c>
      <c r="N24" s="92">
        <f>(1-food_insecure)*(0.49)+food_insecure*(0.7)</f>
        <v>0.52968999999999999</v>
      </c>
      <c r="O24" s="92">
        <f>(1-food_insecure)*(0.49)+food_insecure*(0.7)</f>
        <v>0.52968999999999999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7.1617799689169981E-2</v>
      </c>
      <c r="M25" s="92">
        <f>(1-food_insecure)*(0.21)+food_insecure*(0.3)</f>
        <v>0.22700999999999999</v>
      </c>
      <c r="N25" s="92">
        <f>(1-food_insecure)*(0.21)+food_insecure*(0.3)</f>
        <v>0.22700999999999999</v>
      </c>
      <c r="O25" s="92">
        <f>(1-food_insecure)*(0.21)+food_insecure*(0.3)</f>
        <v>0.22700999999999999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7.675701803609998E-2</v>
      </c>
      <c r="M26" s="92">
        <f>(1-food_insecure)*(0.3)</f>
        <v>0.24330000000000002</v>
      </c>
      <c r="N26" s="92">
        <f>(1-food_insecure)*(0.3)</f>
        <v>0.24330000000000002</v>
      </c>
      <c r="O26" s="92">
        <f>(1-food_insecure)*(0.3)</f>
        <v>0.24330000000000002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0.68451698300000008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2020-03-24T06:49:29Z</dcterms:modified>
</cp:coreProperties>
</file>