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EFB59DA-3BFC-4160-916A-94004582E9C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1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2" i="2"/>
  <c r="I11" i="2"/>
  <c r="I10" i="2"/>
  <c r="I8" i="2"/>
  <c r="I7" i="2"/>
  <c r="I6" i="2"/>
  <c r="I4" i="2"/>
  <c r="I3" i="2"/>
  <c r="I2" i="2"/>
  <c r="C7" i="51"/>
  <c r="C6" i="51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DFC3A13-452F-4587-894B-423A2DF18F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77DFBC9-67ED-4AEA-A743-A683495B73E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F1D01784-E9C5-4FBF-8272-B66E2CFD567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86C91BD-74C5-400F-826D-4E1CF7FE5C4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6737A4D1-1451-4357-BF33-84B8934FC8B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C9D6AFE-9FDB-4FC1-BF0B-F10C9486F2C2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CD4BC5A-5CCB-4FFC-8A39-3A374A6E0A7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F841CF7-0ABE-4345-889B-961095D48C8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CD25047-F111-4E33-9073-7390440989C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360BFB89-07CA-45AA-9BCA-C2096B0D50A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96F5748-5DEE-4B99-9809-6D29539FC1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6141800-3136-4C39-89DE-C5AC3B53E2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C9AB1487-2514-445F-91EE-BE5A7E67A5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3D4C3C2-58C9-42AC-A1CE-38DCE9F610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910C247-6087-410F-9426-055E18FEF3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D556A02-02C6-4272-8A21-163650D780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8914DCE-AB38-4625-AEA2-9C2823556C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C393E3A-13E0-40CE-8494-F41EF1DDEE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C8F4AAD-EC9B-4873-8D47-334D701907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6813CDE-21E8-4DD7-ADFC-222A536354F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1EECD9F-50D9-48D5-8F62-1DA0B1EA1DD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E3D8C26-810B-4744-9D15-095557337D3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4094C4F7-664E-47E0-90FA-97448E12A71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4431885-AD94-42C5-B538-CBB79F0F52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ABB1348-D3F4-4B4E-A525-AD8B9A516E6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9E91D42-4569-49BB-A9BB-143FA3F76BB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6BAF759-DB14-4BDA-87A2-11FAF52757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E69112A-686C-43F8-967A-3B70B130D4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A36C210-5321-44BB-9EE9-889D612F25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0B5360D-450A-44BF-8A82-6CBFA003A5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B86BEFC-20DC-40C8-940E-BA115B5A83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E56AFD6E-8C6A-47EC-AEE5-E8C51D799F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7CBC130-814A-4C71-BEA5-384187A1AA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E3CE811-2FB8-49F9-AA14-A3A1B403810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5ACADA6E-5E07-4316-9F1B-953E91003A6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2BCE4F8-106E-4024-A0F7-80DE32F021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B7743402-419B-43EB-B37D-E0C2E9C75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6FDE235-F619-4057-9E55-DBE64CB6A8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8837E83-EBE4-4F23-88DD-1ABC653888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2D9DEFB9-F1BB-4DEB-88BC-A3A3093C89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18F07D6-5552-4F1F-B6F8-FB5BE4F7D6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4B14B3F-894C-45D2-BEEC-FFC7709072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75DCE38-0FAF-49FB-98B5-640B8BF7D9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2FC8978-96F4-49C9-84A4-9F13D6AF47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2765EFE-08C4-471D-9DC7-5BB31FE301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56295E3-F195-407A-AAE9-CA40E3B77A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A8CAE37-BB8C-4419-8B39-C8982488C6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7DABB52C-053A-456A-A2D3-AB8A746F4B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3000295-5F9A-4119-94C4-185E7D81B8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760298B-DCE4-4CE7-890D-A1D68DAA0E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8DA7884-848C-4ECD-9D21-EAC8C9CEEB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3D96EB9-44C6-42C7-85D7-F585412208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ED060CD2-2AAE-4CF4-AF6C-5078369477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5D15814-622A-4545-B0C6-52C7216EA5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8DD4C8D-589F-4A5C-AFC4-9DCA07C82E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C1C94F5-35BE-412F-997A-9EA5CAFB52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426ACCA-02FC-43C1-9A8A-3DD2CEDEC2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0D541A58-503C-44E1-9E9D-97374FC725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D0026F8-54D6-41AE-A6F4-7C6E2460BF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8A2D82D-D272-41A3-B4D2-2221FCCC29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9060F701-5792-45F1-AA83-E55E0058DC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E9C0BB5-F663-4B2C-AF40-F380A5E817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6673BE7-AA7D-4B18-96AF-865DBDD517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617D041F-9E05-44BD-B94E-33361C1FC5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FF5089B-9061-42AB-8D63-BBFCB26260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54651DD-EC06-43B2-90CB-1E515EDE3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DDD6018-1EE7-450D-ADEA-D55DA89EA2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36349D1-AD9E-4E21-942F-684EDDBA62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E93AAB1-FCAC-42FD-85DC-7AE6B73BA6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750C95B-88BE-4978-8A72-676F32DA27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2AAF2C0-C54E-4097-96FA-EC29046619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67DC121-CBE2-4972-934F-8BB5CB9D7C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15052D82-95AB-4BA8-AA7A-88F0E75460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AC8C67D-6FE0-4924-9594-148357C793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B2548EC-4B72-4704-BC6D-40635C952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4A6CA73-3106-4780-8031-313AF2119C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834FB74-830B-4590-A02A-BAD32177B9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AAB8532-D736-47A1-8892-DBAF03E0BD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1DB201D-2CA1-4338-85CF-2D98CD5880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035A582-9208-45D4-9C67-D816E59EAD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ED425FC-DAE3-4933-9C07-E3E9394231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5E3D0CA-EE7B-4A5C-A41C-EFF565FB1D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E17A99E-6034-460D-919A-631DBBE613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D851FDE1-8FCA-4691-9745-EB95A5AE3E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B56B71B-D107-412F-99F1-43EA0BB062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C3441D7-55A8-448E-9EFE-5182F6086F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F6E5BD4-90EC-400C-ADC4-2A28ABC667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31BFAD8-8B9E-4828-843D-9C6EB477F7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0409C97-3876-4BCB-B8C0-D81327CB51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DC0E213-CF0C-4231-A3C5-4112B574A4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73AE97A-8EAE-421F-8006-F7BE23DA6F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962CDA0-B428-491E-86A6-BD5E67C2D2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2BAE39F-9D6F-4F4C-9B88-2A12140B38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81CB090-E525-419E-848A-2F9F553DD2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7CFA1D2-3C91-4F5E-BE44-E3915F1863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5F3AC31-7975-4076-B3E3-F5A610DE9D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365EA45-39D6-4213-8C8C-AD3740047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1830627-B0A1-4D18-A2FD-2A0E1980F6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A6C00CEC-F3B6-4F8F-98D1-F4BA19612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19291BAB-B871-451B-B119-D479E19327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05B7487-8C82-4499-B73F-D513D320A0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BF7C932-13C6-4C8C-B62D-B313F02F02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A0F7BE4-DFBF-49C9-BB61-8BA40D80AC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23B78D7-1D96-46A2-A238-073F60B92B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5775EF3-26DE-4DEA-BC8B-A321FB83B6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3488B9F-1802-48B0-B987-630135C516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E5617BE-047A-42B6-BED3-AE2575DE1C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1DD21981-E86A-43E6-9836-7240EC0D23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C769F6A-A392-4F0D-8975-69BF485910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39AF4F5-6B39-4C14-991A-2CC59F03B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3B4B4A9-3019-4D5E-8786-3F205D97BA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6B8412A-85FB-4C31-96BA-7B8E9EB931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AF5CBEA-FD98-4A83-A0FC-9AEC2D12CB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A4FABC2-069E-417F-B15C-F64C74D1EA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BB6AFFE-3A4D-4CCD-88E6-D250E54D76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D2A1F39-0300-4005-A319-2441A4443C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D10B7BD-9FFA-4444-820B-E0167D67DD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0C81D72-F1F3-4EB8-A320-45906C3755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240E496-11F4-48EB-906F-4C76BC9828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E0BE6AF-3FDF-40DD-AE03-75C2B3B9DE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8B54AAB-60EA-4CD1-8DDB-6DF765AA65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2A599FC-5D78-41D3-832A-571A1248BF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0EFADF0-1378-41E9-8FA1-6378905E9E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69A69EE-ACE2-4188-9926-F2B25E7C0B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E3FBE3A-F229-4B6E-9122-CDEE8BD0E4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060E6912-7180-435B-91F8-4964E34F6F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F8A3972-B64E-40A6-ACBF-E1F498062A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555EBDE-9B60-4CC2-9CAD-1639D4FB5B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7A95F40C-1BF9-4849-9E77-8777E63CAE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57627C6-EE00-472E-97FD-FC975E1687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6EF2C2F-E2F6-4906-863C-32813AD96C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0569EBC-596E-4857-9B4A-D3BB4EF985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4588856-4271-4241-BC52-5AAE4CEFB9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2609500-B50D-420F-A7F5-B80F4F3F22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EFB647A-D8AB-428E-AD8C-E0BEADC943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0088C9B-F3CA-4A73-82C9-EBB3B3C532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0F0B824-D36D-4702-A250-D5614830CA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EA88F631-8B4F-4BE1-AC24-A51813C5B7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8A66E3D1-C587-4C1B-BA05-0B329C4E7D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4C17E1D-70EB-4554-B1B2-863AFC007B3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EC76529-CF0C-46C2-BB84-A748C91AEA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0089931-FB31-4D34-8D93-829B65CE83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15F1032-95CD-4BB7-96AF-E1230D4F3F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D8189C1-D4FB-4466-91C2-36C8CB91F7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AFE7BEE-8154-4D2C-AE01-52A26EC72D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1589122-4E64-4FFA-B392-83DDFC0FF9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C400326C-EF80-4BFE-9389-2BD9863C2C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179198DD-00DF-46C9-B8BC-FAF711EEF7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5B6FE472-16B3-46AD-88D5-C4B2E6B6E0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4DE260DF-27F8-40A1-B1BA-57EC69EDCA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3108376-CA1E-402B-8783-08189A8BA4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5EC2D4BF-77F5-4388-AC94-B253B964AF0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A025CDD-9585-4FFE-9ADC-DFA32A8DD9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F5E69B5-CB0E-4448-8B52-726749008C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177E56C-08E4-47AB-99EB-B3570883B6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D91191C-EEBC-4387-A924-9474421515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562D758-026E-4C68-A0CE-24CF119446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9D8D54C-648B-46F9-9345-B9F40AD630B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D4BF646-8DCC-454C-97CC-760A06B141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3702E4A2-C549-43F7-BBF5-A130D501A2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8F76BF6C-8BCB-44D7-8D3C-05D53CE20E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DE09553-11DB-4DE5-9EBA-2784677260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8C73971-1F2F-4C50-B182-9F4EB1B434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3A5A0A5-9D46-4BEF-8FA5-5F74A9F3F3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9855870-468C-4E6D-B89F-95AD63FE3A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800BD01-C1E5-441A-8539-46795AD0F9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D0E536C-816B-43B5-9AA2-5F8B5AF12B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32199FB-830A-4428-9D2E-5653491093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5882225-D4D3-4661-92E4-7E7301B9D3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90357EF-B16B-47EA-8ADA-C95E8D5F89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C580BD6-765B-41AE-B5E2-EE968A1E8A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055CE1A-5743-4DFC-9F1A-B75AAED4B9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BAE326D-EA5A-4E79-A6D3-A1D1589B86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114256B-02DC-4109-A699-9E61C71198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BA8E628-2B5E-44F4-B5CC-DD1A33E4B3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90FAABF-326D-4E6F-9120-AF89D35ACD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CD75B52-E0A0-4B19-8C40-F213A02F22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F9A4204-0A1E-44A8-AB66-F7E04F6F2F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236998E-AFAC-430B-9B73-B6122D7194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117746D7-C2BA-4A1C-BF73-0C8F4D4284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7200B15-7A3A-4502-9B60-06B463C5AF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1B1FB92-0BA9-4368-A17E-A941C9E6FC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B1EF0D7-B72F-4465-9A18-5DD5F56D9F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A6E7B5D0-3718-408E-88C1-2991B3EF2C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B942AD8-A582-4F4C-9BAF-A31A8372F0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2ABEAF8-C7F1-4EEE-90ED-419DFFA8DF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5E2668B-1252-4493-BF46-3173384F4F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D3E0B9F-56B4-4F41-9346-FEB180523B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4A6A1A2-6350-46D7-8F7D-327035FF02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4F1389B8-3C79-4629-BB2D-58B2CFCDEF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A9D9DDC5-A365-4881-B521-5C89E9CCB9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163FC169-BA31-4F57-B134-BE3AF024DA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C18B630-B6BA-432F-B232-3A95019959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CA5F5DB-08E5-49F8-BBA9-EC6A6265BA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7DA7B40-0867-411E-8C2C-787F0F3EF5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B8324FF-9395-4F0F-BD67-5959E9A80B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F06C1E5-7FE8-454C-B6DE-75AE77DDC3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255A133-6274-42DA-931B-F556A8B026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E5FDE16-E712-492F-919A-939B8130F6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794410A-392C-4FB0-AAC4-9D9BAD1FC7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2BB8417-987D-4226-AFCF-C42BB93BBF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91700B2-21CA-48C8-AA8B-D5E7BCA73C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FEAECC5-1FED-4EF0-9C47-462F20CAE0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CCACC890-2CAD-4746-BB95-B45EDE8930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F2A9D97-8E2C-460A-9AEE-20DAACBF80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16F0AA8-DF6B-41D3-8C24-21333B45BE6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4CC9B74-037C-42F5-A154-D25AFC1CBD0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0D402FC-B780-4DFB-8F4D-491AE6946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F29EEC9-FE95-4C42-8F6F-B389DF0FFD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E72618F-418F-4208-B2FD-C2D636DFF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69805D1-7734-4949-AADE-8E3017DAF6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A12BA6D-26B5-44CD-BA20-4B25741B00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B5942C6-3ADE-476B-B746-D125D833F53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E263DFC7-788B-43D2-8A69-FACA494EDA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C068743-623E-4419-B79C-8BA3DE915BA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285A540-DEB2-4499-8330-D9EE0308A1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B5174B48-EF78-4F20-80D0-805EE06D32F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D620091-7FAC-43AA-A4B3-D43D464988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36633F4-0210-41BA-A1DE-FFC1DEBA85D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07140F5-DF3F-4754-BA7D-A9CAE550B9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966CC5-0824-4D92-BF5F-F747E28C60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7AB5A72-43C6-471C-B498-B6EDC02349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EB5B688-E46D-4C84-8884-42FDB99B08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892DC913-2ECA-416A-B4B4-469AE9095B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8AC15AA-089E-4AD0-BF1E-82B2355B55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9C08EB9-6E43-447A-9EA7-444230376B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EE2C6C2-D7B9-48C4-9B74-C6842D966B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B117C74-78BB-435F-B29A-6CE61D64EA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64F24AC-61B9-406B-8390-017CA5ECEB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3C0D723-433B-41BE-9496-1D1299BE2D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BD17EE3-AAF2-423D-9CEE-393A444121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3B3A6F7-E1C2-4009-8204-22F7734868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866A220-D2E9-456E-8E99-5635ED73B8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F1F3FFC-3289-4D97-9B32-E73144735D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5AABD02-0391-432F-A8C7-9D9FE463EA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01D686D-9757-444B-A0CB-10B6BD8DCA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EF48342-2244-47D1-8450-31550A8795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8778BEE-9573-4A6C-80F0-1A8C8C9F3D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AAAD366-3436-45F2-AFC1-E06D1A740F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F027847-A040-4CCE-97E0-3DB4D2FFCB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99CD028-0A5C-4A1B-9345-F5D5DCCF15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0DC0C6FC-0864-4A42-A328-FB7369B642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B82F53C-A778-4EBA-B9A0-7E2B0C2AA0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FBC8272-A9F0-4964-9FD7-7325176138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33AE1A3-0D28-4BCD-A3EB-02AC4E6F31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F5B2719B-2DB4-4637-B5D3-8B9509FFF0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7F5A49A-60CD-408F-AA2B-47828EE23A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AD6DB99-30C2-4847-8CCF-83391CE352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5E96079-1E7C-4E16-9DB3-AE98AE63FA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F222A1C-2D10-460B-987B-6123D7E4B8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4CE1DC2-C0A3-452A-A5A1-6A9FA2A17D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225C7CA-B6E0-4AFC-A559-8E358046D7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67B3365-DDAA-4F76-B4F4-E959A1CB19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825376F-6A86-4657-BD52-F6AC358A0D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3488157-C7DB-46C6-80EA-80006D2958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29DDFB9-3694-4CB9-A8FA-E50DE14BB0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4A7FD89E-4F12-4E55-B7C1-677037ABAB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30CE9B9-8A91-4981-8E53-ABF80D32B0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67C32CD6-7CC0-4AA6-9FA7-CAB98EC44B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61CA87D-33D0-49F7-BDA6-EAB46061B5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AF6158F-6915-4763-94CC-54927962F9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905F754-0AB4-460C-B957-11527971E2D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3EB4080-F81A-4D93-A19E-514D312D7A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AB81FD5-C83E-401A-9A0F-2925CEA5351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FFFAA0F-1745-4E78-BFD9-4C119D83CAE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A4B2E9D-3182-4877-8A7C-9A505E062C86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8A4F41B-A671-4D0A-9DE1-54E63731FD2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B069C80-76FF-4AB9-9663-FDD6FC9C32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1065983-86A6-4940-87A1-65BD673926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45069EA-BEE3-4784-8B82-235CE5971A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165F0F3-E587-4F55-B141-45B3FE0DCB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A63273D-A8B1-4786-A5A1-6916917A3B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7B6B005-7E1C-48BC-8043-F5A042F7F0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1242039-103B-4D27-A836-4D0E5ADA37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14FDF55-27FC-4096-A86F-1BAB5344045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E3CB39F-5C12-4566-9946-AB0450C1C1B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992F722F-6C2C-4A08-B3A0-D3890BCABD5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F0297BE-6840-4C14-B803-37C053A784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FC8FC315-9FC8-48D2-B24C-4EDAA1D08B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75C3E8A-E23A-4B7B-80AC-9072E76E377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AF5E6F3-5257-4B09-AF66-97F43CF67C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D9DBDF1-BFE9-4F83-99F7-1D36B351D6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0DB19CD-F805-46F1-BCD6-DDE3043BDE5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EE2D2D1-40B2-400E-97B4-21705C5706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AC05A96-B538-4A5A-A74C-D22E9F9027F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6AA0177-8489-4A07-902E-E893298F5DA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8B639494-15CE-4E25-91B2-D169427C12E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50EDA5C-E71C-4518-8C04-494CFA47561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8109217-9108-4438-B37E-B933F6B01E8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BEDD1703-4209-4759-AEDB-CDC60BD2D7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4ACE085-6AB5-4BE1-99D1-E6634DFD40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882EBD9-189D-4C46-98C5-CDC3803E28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558F4DF-F9D8-47E2-9D64-E30343F792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3E284EA-EE0C-4C89-BF09-8E5F53F917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9CE4524-9ABA-46EE-A8D4-B76B401F06D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D8ACE86-9FFB-43A5-AAB1-9CE2616BE2F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5396E78-A5E0-40FC-95EA-9A4CBFC8EA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0660B0C-A2F2-4413-966D-355A3CA605C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239B54E-5272-4ACD-89D9-3306CD8500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6795B25-2B5F-4608-9809-6968F7FB422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C67553E1-A805-45C2-B3D1-9CEFAB24D3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4C3CEC7-F8E7-4B68-A94C-F08CB0E925C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12EE0A9-F173-4DF8-84F4-28635E24C27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23BD2BE-90BA-434E-8035-79339796E23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958CDA1-F38D-497F-8968-E53934FD169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8F0085E-F580-4034-877C-A9535771CD7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E68BE09-63E2-4C2B-B725-36BEEA36382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213ECE4E-8036-4AC4-BABD-115826F05F3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E664DDA-88E0-45BF-BD8A-A025CD5465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2AD19A3-4303-4966-9EAE-D876635F60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66E9799-F5CE-41AF-ADE8-7361C742D00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DF33EE1-85DC-4B03-A9E0-19EB6ED0C07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CD5B44E-109C-427B-9076-273D3DCF875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97E2513-1BEA-4A79-8146-C9FA44D9CFE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5BE156E-E7FF-46A7-A4E6-E3688B3FC4C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20FACA0-F083-4A19-A662-5732962F32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4716210-B703-44C5-8772-5F49D19ED9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8C736EE-599D-486E-86C8-4B1E8FC7FBA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8FD2AD2-7EA3-440D-8740-B973472466B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92E04DC-83FF-4E29-BCCE-143A32D9CA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2D166BD0-ED15-4B0D-A09A-814A2794946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C43727E5-22A2-4C5E-8395-06E87CA026D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7435F6CF-95B4-4204-BA9A-2382836D648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<sst xmlns="http://schemas.openxmlformats.org/spreadsheetml/2006/main" count="1102" uniqueCount="271">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</sst>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1239617</v>
      </c>
    </row>
    <row r="8" spans="1:3" ht="15" customHeight="1" x14ac:dyDescent="0.25">
      <c r="B8" s="7" t="s">
        <v>106</v>
      </c>
      <c r="C8" s="70">
        <v>0.14400000000000002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0.65108238220214798</v>
      </c>
    </row>
    <row r="11" spans="1:3" ht="15" customHeight="1" x14ac:dyDescent="0.25">
      <c r="B11" s="7" t="s">
        <v>108</v>
      </c>
      <c r="C11" s="70">
        <v>0.94499999999999995</v>
      </c>
    </row>
    <row r="12" spans="1:3" ht="15" customHeight="1" x14ac:dyDescent="0.25">
      <c r="B12" s="7" t="s">
        <v>109</v>
      </c>
      <c r="C12" s="70">
        <v>0.77200000000000002</v>
      </c>
    </row>
    <row r="13" spans="1:3" ht="15" customHeight="1" x14ac:dyDescent="0.25">
      <c r="B13" s="7" t="s">
        <v>110</v>
      </c>
      <c r="C13" s="70">
        <v>0.42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3.9300000000000002E-2</v>
      </c>
    </row>
    <row r="24" spans="1:3" ht="15" customHeight="1" x14ac:dyDescent="0.25">
      <c r="B24" s="20" t="s">
        <v>102</v>
      </c>
      <c r="C24" s="71">
        <v>0.49590000000000001</v>
      </c>
    </row>
    <row r="25" spans="1:3" ht="15" customHeight="1" x14ac:dyDescent="0.25">
      <c r="B25" s="20" t="s">
        <v>103</v>
      </c>
      <c r="C25" s="71">
        <v>0.42019999999999996</v>
      </c>
    </row>
    <row r="26" spans="1:3" ht="15" customHeight="1" x14ac:dyDescent="0.25">
      <c r="B26" s="20" t="s">
        <v>104</v>
      </c>
      <c r="C26" s="71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10.1</v>
      </c>
    </row>
    <row r="38" spans="1:5" ht="15" customHeight="1" x14ac:dyDescent="0.25">
      <c r="B38" s="16" t="s">
        <v>91</v>
      </c>
      <c r="C38" s="75">
        <v>14.6</v>
      </c>
      <c r="D38" s="17"/>
      <c r="E38" s="18"/>
    </row>
    <row r="39" spans="1:5" ht="15" customHeight="1" x14ac:dyDescent="0.25">
      <c r="B39" s="16" t="s">
        <v>90</v>
      </c>
      <c r="C39" s="75">
        <v>17</v>
      </c>
      <c r="D39" s="17"/>
      <c r="E39" s="17"/>
    </row>
    <row r="40" spans="1:5" ht="15" customHeight="1" x14ac:dyDescent="0.25">
      <c r="B40" s="16" t="s">
        <v>171</v>
      </c>
      <c r="C40" s="75">
        <v>0.57999999999999996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3.2099999999999997E-2</v>
      </c>
      <c r="D45" s="17"/>
    </row>
    <row r="46" spans="1:5" ht="15.75" customHeight="1" x14ac:dyDescent="0.25">
      <c r="B46" s="16" t="s">
        <v>11</v>
      </c>
      <c r="C46" s="71">
        <v>0.1118</v>
      </c>
      <c r="D46" s="17"/>
    </row>
    <row r="47" spans="1:5" ht="15.75" customHeight="1" x14ac:dyDescent="0.25">
      <c r="B47" s="16" t="s">
        <v>12</v>
      </c>
      <c r="C47" s="71">
        <v>0.1565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2.1517424982999924</v>
      </c>
      <c r="D51" s="17"/>
    </row>
    <row r="52" spans="1:4" ht="15" customHeight="1" x14ac:dyDescent="0.25">
      <c r="B52" s="16" t="s">
        <v>125</v>
      </c>
      <c r="C52" s="76">
        <v>2.2692125920199997</v>
      </c>
    </row>
    <row r="53" spans="1:4" ht="15.75" customHeight="1" x14ac:dyDescent="0.25">
      <c r="B53" s="16" t="s">
        <v>126</v>
      </c>
      <c r="C53" s="76">
        <v>2.2692125920199997</v>
      </c>
    </row>
    <row r="54" spans="1:4" ht="15.75" customHeight="1" x14ac:dyDescent="0.25">
      <c r="B54" s="16" t="s">
        <v>127</v>
      </c>
      <c r="C54" s="76">
        <v>1.7366032237800002</v>
      </c>
    </row>
    <row r="55" spans="1:4" ht="15.75" customHeight="1" x14ac:dyDescent="0.25">
      <c r="B55" s="16" t="s">
        <v>128</v>
      </c>
      <c r="C55" s="76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0.53391604454077679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57.671699316737026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39.872112451281595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408.79375167203034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1.7882569301900479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1.471578165763491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1.471578165763491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1.471578165763491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1.471578165763491</v>
      </c>
      <c r="E13" s="86" t="s">
        <v>202</v>
      </c>
    </row>
    <row r="14" spans="1:5" ht="15.75" customHeight="1" x14ac:dyDescent="0.25">
      <c r="A14" s="11" t="s">
        <v>187</v>
      </c>
      <c r="B14" s="85">
        <v>0.61399999999999999</v>
      </c>
      <c r="C14" s="85">
        <v>0.95</v>
      </c>
      <c r="D14" s="86">
        <v>13.004411895077508</v>
      </c>
      <c r="E14" s="86" t="s">
        <v>202</v>
      </c>
    </row>
    <row r="15" spans="1:5" ht="15.75" customHeight="1" x14ac:dyDescent="0.25">
      <c r="A15" s="11" t="s">
        <v>209</v>
      </c>
      <c r="B15" s="85">
        <v>0.61399999999999999</v>
      </c>
      <c r="C15" s="85">
        <v>0.95</v>
      </c>
      <c r="D15" s="86">
        <v>13.004411895077508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0.71117769497285666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0.55100000000000005</v>
      </c>
      <c r="C18" s="85">
        <v>0.95</v>
      </c>
      <c r="D18" s="87">
        <v>9.4258488463818431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9.4258488463818431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9.4258488463818431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14.271976978833907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22.437389594385149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4.2744829442771808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18.562456349760495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86">
        <v>18.565002796184167</v>
      </c>
      <c r="E25" s="86" t="s">
        <v>202</v>
      </c>
    </row>
    <row r="26" spans="1:5" ht="15.75" customHeight="1" x14ac:dyDescent="0.25">
      <c r="A26" s="52" t="s">
        <v>137</v>
      </c>
      <c r="B26" s="85">
        <v>0.61399999999999999</v>
      </c>
      <c r="C26" s="85">
        <v>0.95</v>
      </c>
      <c r="D26" s="86">
        <v>5.201506218707058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7.2574250672647294</v>
      </c>
      <c r="E27" s="86" t="s">
        <v>202</v>
      </c>
    </row>
    <row r="28" spans="1:5" ht="15.75" customHeight="1" x14ac:dyDescent="0.25">
      <c r="A28" s="52" t="s">
        <v>84</v>
      </c>
      <c r="B28" s="85">
        <v>0.44400000000000001</v>
      </c>
      <c r="C28" s="85">
        <v>0.95</v>
      </c>
      <c r="D28" s="86">
        <v>1.6058847796180542</v>
      </c>
      <c r="E28" s="86" t="s">
        <v>202</v>
      </c>
    </row>
    <row r="29" spans="1:5" ht="15.75" customHeight="1" x14ac:dyDescent="0.25">
      <c r="A29" s="52" t="s">
        <v>58</v>
      </c>
      <c r="B29" s="85">
        <v>0.55100000000000005</v>
      </c>
      <c r="C29" s="85">
        <v>0.95</v>
      </c>
      <c r="D29" s="86">
        <v>112.83160604399121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0.58382274568755699</v>
      </c>
      <c r="E30" s="86" t="s">
        <v>202</v>
      </c>
    </row>
    <row r="31" spans="1:5" ht="15.75" customHeight="1" x14ac:dyDescent="0.25">
      <c r="A31" s="52" t="s">
        <v>28</v>
      </c>
      <c r="B31" s="85">
        <v>0.245</v>
      </c>
      <c r="C31" s="85">
        <v>0.95</v>
      </c>
      <c r="D31" s="86">
        <v>1.5262120255615979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0.98599999999999999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0.96900000000000008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3.6749216103589899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1.5473299638145213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6.7333123000000009E-2</v>
      </c>
      <c r="C3" s="26">
        <f>frac_mam_1_5months * 2.6</f>
        <v>6.7333123000000009E-2</v>
      </c>
      <c r="D3" s="26">
        <f>frac_mam_6_11months * 2.6</f>
        <v>3.3413632980000003E-2</v>
      </c>
      <c r="E3" s="26">
        <f>frac_mam_12_23months * 2.6</f>
        <v>2.800977608E-2</v>
      </c>
      <c r="F3" s="26">
        <f>frac_mam_24_59months * 2.6</f>
        <v>4.9885788506666674E-2</v>
      </c>
    </row>
    <row r="4" spans="1:6" ht="15.75" customHeight="1" x14ac:dyDescent="0.25">
      <c r="A4" s="3" t="s">
        <v>66</v>
      </c>
      <c r="B4" s="26">
        <f>frac_sam_1month * 2.6</f>
        <v>5.8623419400000001E-2</v>
      </c>
      <c r="C4" s="26">
        <f>frac_sam_1_5months * 2.6</f>
        <v>5.8623419400000001E-2</v>
      </c>
      <c r="D4" s="26">
        <f>frac_sam_6_11months * 2.6</f>
        <v>2.4081740020000002E-2</v>
      </c>
      <c r="E4" s="26">
        <f>frac_sam_12_23months * 2.6</f>
        <v>1.548681992E-2</v>
      </c>
      <c r="F4" s="26">
        <f>frac_sam_24_59months * 2.6</f>
        <v>1.0754448293333333E-2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251126.002699</v>
      </c>
      <c r="C2" s="78">
        <v>476306</v>
      </c>
      <c r="D2" s="78">
        <v>830947</v>
      </c>
      <c r="E2" s="78">
        <v>680351</v>
      </c>
      <c r="F2" s="78">
        <v>504563</v>
      </c>
      <c r="G2" s="22">
        <f t="shared" ref="G2:G40" si="0">C2+D2+E2+F2</f>
        <v>2492167</v>
      </c>
      <c r="H2" s="22">
        <f t="shared" ref="H2:H40" si="1">(B2 + stillbirth*B2/(1000-stillbirth))/(1-abortion)</f>
        <v>291713.57030312531</v>
      </c>
      <c r="I2" s="22">
        <f>G2-H2</f>
        <v>2200453.4296968747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250993.77066666665</v>
      </c>
      <c r="C3" s="78">
        <v>482000</v>
      </c>
      <c r="D3" s="78">
        <v>846000</v>
      </c>
      <c r="E3" s="78">
        <v>697000</v>
      </c>
      <c r="F3" s="78">
        <v>519000</v>
      </c>
      <c r="G3" s="22">
        <f t="shared" si="0"/>
        <v>2544000</v>
      </c>
      <c r="H3" s="22">
        <f t="shared" si="1"/>
        <v>291559.96662271861</v>
      </c>
      <c r="I3" s="22">
        <f t="shared" ref="I3:I15" si="3">G3-H3</f>
        <v>2252440.0333772814</v>
      </c>
    </row>
    <row r="4" spans="1:9" ht="15.75" customHeight="1" x14ac:dyDescent="0.25">
      <c r="A4" s="7">
        <f t="shared" si="2"/>
        <v>2019</v>
      </c>
      <c r="B4" s="77">
        <v>249759.49666666664</v>
      </c>
      <c r="C4" s="78">
        <v>488000</v>
      </c>
      <c r="D4" s="78">
        <v>858000</v>
      </c>
      <c r="E4" s="78">
        <v>709000</v>
      </c>
      <c r="F4" s="78">
        <v>533000</v>
      </c>
      <c r="G4" s="22">
        <f t="shared" si="0"/>
        <v>2588000</v>
      </c>
      <c r="H4" s="22">
        <f t="shared" si="1"/>
        <v>290126.20639318204</v>
      </c>
      <c r="I4" s="22">
        <f t="shared" si="3"/>
        <v>2297873.7936068177</v>
      </c>
    </row>
    <row r="5" spans="1:9" ht="15.75" customHeight="1" x14ac:dyDescent="0.25">
      <c r="A5" s="7">
        <f t="shared" si="2"/>
        <v>2020</v>
      </c>
      <c r="B5" s="77">
        <v>247690.758</v>
      </c>
      <c r="C5" s="78">
        <v>492000</v>
      </c>
      <c r="D5" s="78">
        <v>868000</v>
      </c>
      <c r="E5" s="78">
        <v>719000</v>
      </c>
      <c r="F5" s="78">
        <v>545000</v>
      </c>
      <c r="G5" s="22">
        <f t="shared" si="0"/>
        <v>2624000</v>
      </c>
      <c r="H5" s="22">
        <f t="shared" si="1"/>
        <v>287723.11338014674</v>
      </c>
      <c r="I5" s="22">
        <f t="shared" si="3"/>
        <v>2336276.8866198533</v>
      </c>
    </row>
    <row r="6" spans="1:9" ht="15.75" customHeight="1" x14ac:dyDescent="0.25">
      <c r="A6" s="7">
        <f t="shared" si="2"/>
        <v>2021</v>
      </c>
      <c r="B6" s="77">
        <v>245958.62400000004</v>
      </c>
      <c r="C6" s="78">
        <v>496000</v>
      </c>
      <c r="D6" s="78">
        <v>874000</v>
      </c>
      <c r="E6" s="78">
        <v>727000</v>
      </c>
      <c r="F6" s="78">
        <v>557000</v>
      </c>
      <c r="G6" s="22">
        <f t="shared" si="0"/>
        <v>2654000</v>
      </c>
      <c r="H6" s="22">
        <f t="shared" si="1"/>
        <v>285711.02786151145</v>
      </c>
      <c r="I6" s="22">
        <f t="shared" si="3"/>
        <v>2368288.9721384887</v>
      </c>
    </row>
    <row r="7" spans="1:9" ht="15.75" customHeight="1" x14ac:dyDescent="0.25">
      <c r="A7" s="7">
        <f t="shared" si="2"/>
        <v>2022</v>
      </c>
      <c r="B7" s="77">
        <v>243522.78200000004</v>
      </c>
      <c r="C7" s="78">
        <v>499000</v>
      </c>
      <c r="D7" s="78">
        <v>877000</v>
      </c>
      <c r="E7" s="78">
        <v>731000</v>
      </c>
      <c r="F7" s="78">
        <v>568000</v>
      </c>
      <c r="G7" s="22">
        <f t="shared" si="0"/>
        <v>2675000</v>
      </c>
      <c r="H7" s="22">
        <f t="shared" si="1"/>
        <v>282881.49942209292</v>
      </c>
      <c r="I7" s="22">
        <f t="shared" si="3"/>
        <v>2392118.5005779071</v>
      </c>
    </row>
    <row r="8" spans="1:9" ht="15.75" customHeight="1" x14ac:dyDescent="0.25">
      <c r="A8" s="7">
        <f t="shared" si="2"/>
        <v>2023</v>
      </c>
      <c r="B8" s="77">
        <v>240646.43440000003</v>
      </c>
      <c r="C8" s="78">
        <v>502000</v>
      </c>
      <c r="D8" s="78">
        <v>878000</v>
      </c>
      <c r="E8" s="78">
        <v>733000</v>
      </c>
      <c r="F8" s="78">
        <v>578000</v>
      </c>
      <c r="G8" s="22">
        <f t="shared" si="0"/>
        <v>2691000</v>
      </c>
      <c r="H8" s="22">
        <f t="shared" si="1"/>
        <v>279540.26984486537</v>
      </c>
      <c r="I8" s="22">
        <f t="shared" si="3"/>
        <v>2411459.7301551346</v>
      </c>
    </row>
    <row r="9" spans="1:9" ht="15.75" customHeight="1" x14ac:dyDescent="0.25">
      <c r="A9" s="7">
        <f t="shared" si="2"/>
        <v>2024</v>
      </c>
      <c r="B9" s="77">
        <v>237620.72520000004</v>
      </c>
      <c r="C9" s="78">
        <v>504000</v>
      </c>
      <c r="D9" s="78">
        <v>879000</v>
      </c>
      <c r="E9" s="78">
        <v>734000</v>
      </c>
      <c r="F9" s="78">
        <v>588000</v>
      </c>
      <c r="G9" s="22">
        <f t="shared" si="0"/>
        <v>2705000</v>
      </c>
      <c r="H9" s="22">
        <f t="shared" si="1"/>
        <v>276025.53849906783</v>
      </c>
      <c r="I9" s="22">
        <f t="shared" si="3"/>
        <v>2428974.461500932</v>
      </c>
    </row>
    <row r="10" spans="1:9" ht="15.75" customHeight="1" x14ac:dyDescent="0.25">
      <c r="A10" s="7">
        <f t="shared" si="2"/>
        <v>2025</v>
      </c>
      <c r="B10" s="77">
        <v>234671.97999999998</v>
      </c>
      <c r="C10" s="78">
        <v>507000</v>
      </c>
      <c r="D10" s="78">
        <v>882000</v>
      </c>
      <c r="E10" s="78">
        <v>737000</v>
      </c>
      <c r="F10" s="78">
        <v>597000</v>
      </c>
      <c r="G10" s="22">
        <f t="shared" si="0"/>
        <v>2723000</v>
      </c>
      <c r="H10" s="22">
        <f t="shared" si="1"/>
        <v>272600.21025364025</v>
      </c>
      <c r="I10" s="22">
        <f t="shared" si="3"/>
        <v>2450399.7897463599</v>
      </c>
    </row>
    <row r="11" spans="1:9" ht="15.75" customHeight="1" x14ac:dyDescent="0.25">
      <c r="A11" s="7">
        <f t="shared" si="2"/>
        <v>2026</v>
      </c>
      <c r="B11" s="77">
        <v>232946.60399999999</v>
      </c>
      <c r="C11" s="78">
        <v>511000</v>
      </c>
      <c r="D11" s="78">
        <v>887000</v>
      </c>
      <c r="E11" s="78">
        <v>741000</v>
      </c>
      <c r="F11" s="78">
        <v>607000</v>
      </c>
      <c r="G11" s="22">
        <f t="shared" si="0"/>
        <v>2746000</v>
      </c>
      <c r="H11" s="22">
        <f t="shared" si="1"/>
        <v>270595.97497865517</v>
      </c>
      <c r="I11" s="22">
        <f t="shared" si="3"/>
        <v>2475404.0250213449</v>
      </c>
    </row>
    <row r="12" spans="1:9" ht="15.75" customHeight="1" x14ac:dyDescent="0.25">
      <c r="A12" s="7">
        <f t="shared" si="2"/>
        <v>2027</v>
      </c>
      <c r="B12" s="77">
        <v>231424.416</v>
      </c>
      <c r="C12" s="78">
        <v>515000</v>
      </c>
      <c r="D12" s="78">
        <v>892000</v>
      </c>
      <c r="E12" s="78">
        <v>746000</v>
      </c>
      <c r="F12" s="78">
        <v>617000</v>
      </c>
      <c r="G12" s="22">
        <f t="shared" si="0"/>
        <v>2770000</v>
      </c>
      <c r="H12" s="22">
        <f t="shared" si="1"/>
        <v>268827.76741997874</v>
      </c>
      <c r="I12" s="22">
        <f t="shared" si="3"/>
        <v>2501172.232580021</v>
      </c>
    </row>
    <row r="13" spans="1:9" ht="15.75" customHeight="1" x14ac:dyDescent="0.25">
      <c r="A13" s="7">
        <f t="shared" si="2"/>
        <v>2028</v>
      </c>
      <c r="B13" s="77">
        <v>230051.25</v>
      </c>
      <c r="C13" s="78">
        <v>520000</v>
      </c>
      <c r="D13" s="78">
        <v>899000</v>
      </c>
      <c r="E13" s="78">
        <v>752000</v>
      </c>
      <c r="F13" s="78">
        <v>627000</v>
      </c>
      <c r="G13" s="22">
        <f t="shared" si="0"/>
        <v>2798000</v>
      </c>
      <c r="H13" s="22">
        <f t="shared" si="1"/>
        <v>267232.66714293184</v>
      </c>
      <c r="I13" s="22">
        <f t="shared" si="3"/>
        <v>2530767.3328570682</v>
      </c>
    </row>
    <row r="14" spans="1:9" ht="15.75" customHeight="1" x14ac:dyDescent="0.25">
      <c r="A14" s="7">
        <f t="shared" si="2"/>
        <v>2029</v>
      </c>
      <c r="B14" s="77">
        <v>228775.58799999999</v>
      </c>
      <c r="C14" s="78">
        <v>523000</v>
      </c>
      <c r="D14" s="78">
        <v>909000</v>
      </c>
      <c r="E14" s="78">
        <v>759000</v>
      </c>
      <c r="F14" s="78">
        <v>637000</v>
      </c>
      <c r="G14" s="22">
        <f t="shared" si="0"/>
        <v>2828000</v>
      </c>
      <c r="H14" s="22">
        <f t="shared" si="1"/>
        <v>265750.82968874328</v>
      </c>
      <c r="I14" s="22">
        <f t="shared" si="3"/>
        <v>2562249.1703112568</v>
      </c>
    </row>
    <row r="15" spans="1:9" ht="15.75" customHeight="1" x14ac:dyDescent="0.25">
      <c r="A15" s="7">
        <f t="shared" si="2"/>
        <v>2030</v>
      </c>
      <c r="B15" s="77">
        <v>227589.486</v>
      </c>
      <c r="C15" s="78">
        <v>525000</v>
      </c>
      <c r="D15" s="78">
        <v>919000</v>
      </c>
      <c r="E15" s="78">
        <v>766000</v>
      </c>
      <c r="F15" s="78">
        <v>646000</v>
      </c>
      <c r="G15" s="22">
        <f t="shared" si="0"/>
        <v>2856000</v>
      </c>
      <c r="H15" s="22">
        <f t="shared" si="1"/>
        <v>264373.02712968929</v>
      </c>
      <c r="I15" s="22">
        <f t="shared" si="3"/>
        <v>2591626.9728703108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127.77845539079878</v>
      </c>
      <c r="I17" s="22">
        <f t="shared" si="4"/>
        <v>-127.77845539079878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3.2363937500000002E-3</v>
      </c>
    </row>
    <row r="4" spans="1:8" ht="15.75" customHeight="1" x14ac:dyDescent="0.25">
      <c r="B4" s="24" t="s">
        <v>7</v>
      </c>
      <c r="C4" s="79">
        <v>0.14750715864673128</v>
      </c>
    </row>
    <row r="5" spans="1:8" ht="15.75" customHeight="1" x14ac:dyDescent="0.25">
      <c r="B5" s="24" t="s">
        <v>8</v>
      </c>
      <c r="C5" s="79">
        <v>6.13743375573228E-2</v>
      </c>
    </row>
    <row r="6" spans="1:8" ht="15.75" customHeight="1" x14ac:dyDescent="0.25">
      <c r="B6" s="24" t="s">
        <v>10</v>
      </c>
      <c r="C6" s="79">
        <v>8.1032483059158833E-2</v>
      </c>
    </row>
    <row r="7" spans="1:8" ht="15.75" customHeight="1" x14ac:dyDescent="0.25">
      <c r="B7" s="24" t="s">
        <v>13</v>
      </c>
      <c r="C7" s="79">
        <v>0.3192565959004055</v>
      </c>
    </row>
    <row r="8" spans="1:8" ht="15.75" customHeight="1" x14ac:dyDescent="0.25">
      <c r="B8" s="24" t="s">
        <v>14</v>
      </c>
      <c r="C8" s="79">
        <v>1.8512400483642656E-6</v>
      </c>
    </row>
    <row r="9" spans="1:8" ht="15.75" customHeight="1" x14ac:dyDescent="0.25">
      <c r="B9" s="24" t="s">
        <v>27</v>
      </c>
      <c r="C9" s="79">
        <v>0.288358767085514</v>
      </c>
    </row>
    <row r="10" spans="1:8" ht="15.75" customHeight="1" x14ac:dyDescent="0.25">
      <c r="B10" s="24" t="s">
        <v>15</v>
      </c>
      <c r="C10" s="79">
        <v>9.9232412760819177E-2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1.96922269428393E-2</v>
      </c>
      <c r="D14" s="79">
        <v>1.96922269428393E-2</v>
      </c>
      <c r="E14" s="79">
        <v>1.4495560529341801E-2</v>
      </c>
      <c r="F14" s="79">
        <v>1.4495560529341801E-2</v>
      </c>
    </row>
    <row r="15" spans="1:8" ht="15.75" customHeight="1" x14ac:dyDescent="0.25">
      <c r="B15" s="24" t="s">
        <v>16</v>
      </c>
      <c r="C15" s="79">
        <v>0.191745826937644</v>
      </c>
      <c r="D15" s="79">
        <v>0.191745826937644</v>
      </c>
      <c r="E15" s="79">
        <v>9.0016681815231619E-2</v>
      </c>
      <c r="F15" s="79">
        <v>9.0016681815231619E-2</v>
      </c>
    </row>
    <row r="16" spans="1:8" ht="15.75" customHeight="1" x14ac:dyDescent="0.25">
      <c r="B16" s="24" t="s">
        <v>17</v>
      </c>
      <c r="C16" s="79">
        <v>1.5741314953023E-2</v>
      </c>
      <c r="D16" s="79">
        <v>1.5741314953023E-2</v>
      </c>
      <c r="E16" s="79">
        <v>1.78263139256159E-2</v>
      </c>
      <c r="F16" s="79">
        <v>1.78263139256159E-2</v>
      </c>
    </row>
    <row r="17" spans="1:8" ht="15.75" customHeight="1" x14ac:dyDescent="0.25">
      <c r="B17" s="24" t="s">
        <v>18</v>
      </c>
      <c r="C17" s="79">
        <v>1.8179952703375802E-3</v>
      </c>
      <c r="D17" s="79">
        <v>1.8179952703375802E-3</v>
      </c>
      <c r="E17" s="79">
        <v>6.8072501388671902E-3</v>
      </c>
      <c r="F17" s="79">
        <v>6.8072501388671902E-3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1.1668184257183401E-2</v>
      </c>
      <c r="D19" s="79">
        <v>1.1668184257183401E-2</v>
      </c>
      <c r="E19" s="79">
        <v>1.8375057959700101E-2</v>
      </c>
      <c r="F19" s="79">
        <v>1.8375057959700101E-2</v>
      </c>
    </row>
    <row r="20" spans="1:8" ht="15.75" customHeight="1" x14ac:dyDescent="0.25">
      <c r="B20" s="24" t="s">
        <v>21</v>
      </c>
      <c r="C20" s="79">
        <v>1.23623359399725E-3</v>
      </c>
      <c r="D20" s="79">
        <v>1.23623359399725E-3</v>
      </c>
      <c r="E20" s="79">
        <v>9.5716997775844199E-3</v>
      </c>
      <c r="F20" s="79">
        <v>9.5716997775844199E-3</v>
      </c>
    </row>
    <row r="21" spans="1:8" ht="15.75" customHeight="1" x14ac:dyDescent="0.25">
      <c r="B21" s="24" t="s">
        <v>22</v>
      </c>
      <c r="C21" s="79">
        <v>7.9945029552718996E-2</v>
      </c>
      <c r="D21" s="79">
        <v>7.9945029552718996E-2</v>
      </c>
      <c r="E21" s="79">
        <v>0.34787100715546304</v>
      </c>
      <c r="F21" s="79">
        <v>0.34787100715546304</v>
      </c>
    </row>
    <row r="22" spans="1:8" ht="15.75" customHeight="1" x14ac:dyDescent="0.25">
      <c r="B22" s="24" t="s">
        <v>23</v>
      </c>
      <c r="C22" s="79">
        <v>0.67815318849225648</v>
      </c>
      <c r="D22" s="79">
        <v>0.67815318849225648</v>
      </c>
      <c r="E22" s="79">
        <v>0.49503642869819586</v>
      </c>
      <c r="F22" s="79">
        <v>0.49503642869819586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0.10920000000000001</v>
      </c>
    </row>
    <row r="27" spans="1:8" ht="15.75" customHeight="1" x14ac:dyDescent="0.25">
      <c r="B27" s="24" t="s">
        <v>39</v>
      </c>
      <c r="C27" s="79">
        <v>1.7600000000000001E-2</v>
      </c>
    </row>
    <row r="28" spans="1:8" ht="15.75" customHeight="1" x14ac:dyDescent="0.25">
      <c r="B28" s="24" t="s">
        <v>40</v>
      </c>
      <c r="C28" s="79">
        <v>3.5400000000000001E-2</v>
      </c>
    </row>
    <row r="29" spans="1:8" ht="15.75" customHeight="1" x14ac:dyDescent="0.25">
      <c r="B29" s="24" t="s">
        <v>41</v>
      </c>
      <c r="C29" s="79">
        <v>8.1900000000000001E-2</v>
      </c>
    </row>
    <row r="30" spans="1:8" ht="15.75" customHeight="1" x14ac:dyDescent="0.25">
      <c r="B30" s="24" t="s">
        <v>42</v>
      </c>
      <c r="C30" s="79">
        <v>6.7299999999999999E-2</v>
      </c>
    </row>
    <row r="31" spans="1:8" ht="15.75" customHeight="1" x14ac:dyDescent="0.25">
      <c r="B31" s="24" t="s">
        <v>43</v>
      </c>
      <c r="C31" s="79">
        <v>2.8900000000000002E-2</v>
      </c>
    </row>
    <row r="32" spans="1:8" ht="15.75" customHeight="1" x14ac:dyDescent="0.25">
      <c r="B32" s="24" t="s">
        <v>44</v>
      </c>
      <c r="C32" s="79">
        <v>0.2334</v>
      </c>
    </row>
    <row r="33" spans="2:3" ht="15.75" customHeight="1" x14ac:dyDescent="0.25">
      <c r="B33" s="24" t="s">
        <v>45</v>
      </c>
      <c r="C33" s="79">
        <v>0.1321</v>
      </c>
    </row>
    <row r="34" spans="2:3" ht="15.75" customHeight="1" x14ac:dyDescent="0.25">
      <c r="B34" s="24" t="s">
        <v>46</v>
      </c>
      <c r="C34" s="79">
        <v>0.29420000000000018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0.75326984675747055</v>
      </c>
      <c r="D2" s="80">
        <v>0.75326984675747055</v>
      </c>
      <c r="E2" s="80">
        <v>0.72376843800011847</v>
      </c>
      <c r="F2" s="80">
        <v>0.7269369349869792</v>
      </c>
      <c r="G2" s="80">
        <v>0.66262797866403189</v>
      </c>
    </row>
    <row r="3" spans="1:15" ht="15.75" customHeight="1" x14ac:dyDescent="0.25">
      <c r="A3" s="5"/>
      <c r="B3" s="11" t="s">
        <v>118</v>
      </c>
      <c r="C3" s="80">
        <v>0.15863563660190441</v>
      </c>
      <c r="D3" s="80">
        <v>0.15863563660190441</v>
      </c>
      <c r="E3" s="80">
        <v>0.1861118840571733</v>
      </c>
      <c r="F3" s="80">
        <v>0.16775467730468752</v>
      </c>
      <c r="G3" s="80">
        <v>0.23206363362763488</v>
      </c>
    </row>
    <row r="4" spans="1:15" ht="15.75" customHeight="1" x14ac:dyDescent="0.25">
      <c r="A4" s="5"/>
      <c r="B4" s="11" t="s">
        <v>116</v>
      </c>
      <c r="C4" s="81">
        <v>7.1893226223958343E-2</v>
      </c>
      <c r="D4" s="81">
        <v>7.1893226223958343E-2</v>
      </c>
      <c r="E4" s="81">
        <v>7.3918387526041671E-2</v>
      </c>
      <c r="F4" s="81">
        <v>8.3031613385416675E-2</v>
      </c>
      <c r="G4" s="81">
        <v>8.3031613385416675E-2</v>
      </c>
    </row>
    <row r="5" spans="1:15" ht="15.75" customHeight="1" x14ac:dyDescent="0.25">
      <c r="A5" s="5"/>
      <c r="B5" s="11" t="s">
        <v>119</v>
      </c>
      <c r="C5" s="81">
        <v>1.620129041666667E-2</v>
      </c>
      <c r="D5" s="81">
        <v>1.620129041666667E-2</v>
      </c>
      <c r="E5" s="81">
        <v>1.620129041666667E-2</v>
      </c>
      <c r="F5" s="81">
        <v>2.2276774322916675E-2</v>
      </c>
      <c r="G5" s="81">
        <v>2.2276774322916675E-2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0.81433090325052626</v>
      </c>
      <c r="D8" s="80">
        <v>0.81433090325052626</v>
      </c>
      <c r="E8" s="80">
        <v>0.85938488684826886</v>
      </c>
      <c r="F8" s="80">
        <v>0.8941553892260693</v>
      </c>
      <c r="G8" s="80">
        <v>0.8896164996393443</v>
      </c>
    </row>
    <row r="9" spans="1:15" ht="15.75" customHeight="1" x14ac:dyDescent="0.25">
      <c r="B9" s="7" t="s">
        <v>121</v>
      </c>
      <c r="C9" s="80">
        <v>0.13722427274947366</v>
      </c>
      <c r="D9" s="80">
        <v>0.13722427274947366</v>
      </c>
      <c r="E9" s="80">
        <v>0.11850150815173119</v>
      </c>
      <c r="F9" s="80">
        <v>8.9115150773930757E-2</v>
      </c>
      <c r="G9" s="80">
        <v>8.7060332360655732E-2</v>
      </c>
    </row>
    <row r="10" spans="1:15" ht="15.75" customHeight="1" x14ac:dyDescent="0.25">
      <c r="B10" s="7" t="s">
        <v>122</v>
      </c>
      <c r="C10" s="81">
        <v>2.5897355E-2</v>
      </c>
      <c r="D10" s="81">
        <v>2.5897355E-2</v>
      </c>
      <c r="E10" s="81">
        <v>1.2851397300000001E-2</v>
      </c>
      <c r="F10" s="81">
        <v>1.07729908E-2</v>
      </c>
      <c r="G10" s="81">
        <v>1.9186841733333335E-2</v>
      </c>
    </row>
    <row r="11" spans="1:15" ht="15.75" customHeight="1" x14ac:dyDescent="0.25">
      <c r="B11" s="7" t="s">
        <v>123</v>
      </c>
      <c r="C11" s="81">
        <v>2.2547469000000001E-2</v>
      </c>
      <c r="D11" s="81">
        <v>2.2547469000000001E-2</v>
      </c>
      <c r="E11" s="81">
        <v>9.2622077000000004E-3</v>
      </c>
      <c r="F11" s="81">
        <v>5.9564691999999999E-3</v>
      </c>
      <c r="G11" s="81">
        <v>4.1363262666666662E-3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0.58996669749999997</v>
      </c>
      <c r="D14" s="82">
        <v>0.58808578352899998</v>
      </c>
      <c r="E14" s="82">
        <v>0.58808578352899998</v>
      </c>
      <c r="F14" s="82">
        <v>0.294560960915</v>
      </c>
      <c r="G14" s="82">
        <v>0.294560960915</v>
      </c>
      <c r="H14" s="83">
        <v>0.27500000000000002</v>
      </c>
      <c r="I14" s="83">
        <v>0.32577934272300474</v>
      </c>
      <c r="J14" s="83">
        <v>0.29856807511737093</v>
      </c>
      <c r="K14" s="83">
        <v>0.33182629107981221</v>
      </c>
      <c r="L14" s="83">
        <v>0.31032060511800003</v>
      </c>
      <c r="M14" s="83">
        <v>0.28918673102750003</v>
      </c>
      <c r="N14" s="83">
        <v>0.29339213152400001</v>
      </c>
      <c r="O14" s="83">
        <v>0.32256034060299998</v>
      </c>
    </row>
    <row r="15" spans="1:15" ht="15.75" customHeight="1" x14ac:dyDescent="0.25">
      <c r="B15" s="16" t="s">
        <v>68</v>
      </c>
      <c r="C15" s="80">
        <f>iron_deficiency_anaemia*C14</f>
        <v>0.314992685539985</v>
      </c>
      <c r="D15" s="80">
        <f t="shared" ref="D15:O15" si="0">iron_deficiency_anaemia*D14</f>
        <v>0.31398843539246718</v>
      </c>
      <c r="E15" s="80">
        <f t="shared" si="0"/>
        <v>0.31398843539246718</v>
      </c>
      <c r="F15" s="80">
        <f t="shared" si="0"/>
        <v>0.15727082312786717</v>
      </c>
      <c r="G15" s="80">
        <f t="shared" si="0"/>
        <v>0.15727082312786717</v>
      </c>
      <c r="H15" s="80">
        <f t="shared" si="0"/>
        <v>0.14682691224871364</v>
      </c>
      <c r="I15" s="80">
        <f t="shared" si="0"/>
        <v>0.17393881805976077</v>
      </c>
      <c r="J15" s="80">
        <f t="shared" si="0"/>
        <v>0.1594102856928202</v>
      </c>
      <c r="K15" s="80">
        <f t="shared" si="0"/>
        <v>0.17716738080796979</v>
      </c>
      <c r="L15" s="80">
        <f t="shared" si="0"/>
        <v>0.16568515002410292</v>
      </c>
      <c r="M15" s="80">
        <f t="shared" si="0"/>
        <v>0.15440143556388033</v>
      </c>
      <c r="N15" s="80">
        <f t="shared" si="0"/>
        <v>0.15664676636268143</v>
      </c>
      <c r="O15" s="80">
        <f t="shared" si="0"/>
        <v>0.17222014118047949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0.255</v>
      </c>
      <c r="D2" s="81">
        <v>0.255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0.128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0.17100000000000001</v>
      </c>
      <c r="D4" s="81">
        <v>0.17100000000000001</v>
      </c>
      <c r="E4" s="81">
        <v>0.42599999999999999</v>
      </c>
      <c r="F4" s="81">
        <v>0.44900000000000007</v>
      </c>
      <c r="G4" s="81">
        <v>0</v>
      </c>
    </row>
    <row r="5" spans="1:7" x14ac:dyDescent="0.25">
      <c r="B5" s="43" t="s">
        <v>169</v>
      </c>
      <c r="C5" s="80">
        <f>1-SUM(C2:C4)</f>
        <v>0.41499999999999992</v>
      </c>
      <c r="D5" s="80">
        <f>1-SUM(D2:D4)</f>
        <v>0.44599999999999995</v>
      </c>
      <c r="E5" s="80">
        <f>1-SUM(E2:E4)</f>
        <v>0.57400000000000007</v>
      </c>
      <c r="F5" s="80">
        <f>1-SUM(F2:F4)</f>
        <v>0.55099999999999993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9.7159999999999996E-2</v>
      </c>
      <c r="D2" s="144">
        <v>9.4969999999999999E-2</v>
      </c>
      <c r="E2" s="144">
        <v>9.2859999999999998E-2</v>
      </c>
      <c r="F2" s="144">
        <v>9.0820000000000012E-2</v>
      </c>
      <c r="G2" s="144">
        <v>8.8840000000000002E-2</v>
      </c>
      <c r="H2" s="144">
        <v>8.6919999999999997E-2</v>
      </c>
      <c r="I2" s="144">
        <v>8.5050000000000014E-2</v>
      </c>
      <c r="J2" s="144">
        <v>8.3249999999999991E-2</v>
      </c>
      <c r="K2" s="144">
        <v>8.1489999999999993E-2</v>
      </c>
      <c r="L2" s="144">
        <v>7.9809999999999992E-2</v>
      </c>
      <c r="M2" s="144">
        <v>7.8179999999999999E-2</v>
      </c>
      <c r="N2" s="144">
        <v>7.6609999999999998E-2</v>
      </c>
      <c r="O2" s="144">
        <v>7.5079999999999994E-2</v>
      </c>
      <c r="P2" s="144">
        <v>7.3599999999999999E-2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2.147E-2</v>
      </c>
      <c r="D4" s="144">
        <v>2.1219999999999999E-2</v>
      </c>
      <c r="E4" s="144">
        <v>2.0969999999999999E-2</v>
      </c>
      <c r="F4" s="144">
        <v>2.0739999999999998E-2</v>
      </c>
      <c r="G4" s="144">
        <v>2.051E-2</v>
      </c>
      <c r="H4" s="144">
        <v>2.027E-2</v>
      </c>
      <c r="I4" s="144">
        <v>2.0039999999999999E-2</v>
      </c>
      <c r="J4" s="144">
        <v>1.9810000000000001E-2</v>
      </c>
      <c r="K4" s="144">
        <v>1.9599999999999999E-2</v>
      </c>
      <c r="L4" s="144">
        <v>1.9400000000000001E-2</v>
      </c>
      <c r="M4" s="144">
        <v>1.9199999999999998E-2</v>
      </c>
      <c r="N4" s="144">
        <v>1.9019999999999999E-2</v>
      </c>
      <c r="O4" s="144">
        <v>1.8839999999999999E-2</v>
      </c>
      <c r="P4" s="144">
        <v>1.866E-2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0.1886310830832458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0.1668371259099736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0.16174597660545506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0.25499999999999995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0.44133333333333336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14.409000000000001</v>
      </c>
      <c r="D13" s="143">
        <v>14.077999999999999</v>
      </c>
      <c r="E13" s="143">
        <v>13.744999999999999</v>
      </c>
      <c r="F13" s="143">
        <v>13.436999999999999</v>
      </c>
      <c r="G13" s="143">
        <v>13.122999999999999</v>
      </c>
      <c r="H13" s="143">
        <v>12.82</v>
      </c>
      <c r="I13" s="143">
        <v>12.522</v>
      </c>
      <c r="J13" s="143">
        <v>12.241</v>
      </c>
      <c r="K13" s="143">
        <v>11.96</v>
      </c>
      <c r="L13" s="143">
        <v>11.69</v>
      </c>
      <c r="M13" s="143">
        <v>11.208</v>
      </c>
      <c r="N13" s="143">
        <v>10.919</v>
      </c>
      <c r="O13" s="143">
        <v>10.692</v>
      </c>
      <c r="P13" s="143">
        <v>10.462</v>
      </c>
    </row>
    <row r="14" spans="1:16" x14ac:dyDescent="0.25">
      <c r="B14" s="16" t="s">
        <v>170</v>
      </c>
      <c r="C14" s="143">
        <f>maternal_mortality</f>
        <v>0.57999999999999996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0.14400000000000002</v>
      </c>
      <c r="E2" s="92">
        <f>food_insecure</f>
        <v>0.14400000000000002</v>
      </c>
      <c r="F2" s="92">
        <f>food_insecure</f>
        <v>0.14400000000000002</v>
      </c>
      <c r="G2" s="92">
        <f>food_insecure</f>
        <v>0.14400000000000002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0.14400000000000002</v>
      </c>
      <c r="F5" s="92">
        <f>food_insecure</f>
        <v>0.14400000000000002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8.2759326857692023E-2</v>
      </c>
      <c r="D7" s="92">
        <f>diarrhoea_1_5mo/26</f>
        <v>8.7277407385384601E-2</v>
      </c>
      <c r="E7" s="92">
        <f>diarrhoea_6_11mo/26</f>
        <v>8.7277407385384601E-2</v>
      </c>
      <c r="F7" s="92">
        <f>diarrhoea_12_23mo/26</f>
        <v>6.679243168384616E-2</v>
      </c>
      <c r="G7" s="92">
        <f>diarrhoea_24_59mo/26</f>
        <v>6.679243168384616E-2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0.14400000000000002</v>
      </c>
      <c r="F8" s="92">
        <f>food_insecure</f>
        <v>0.14400000000000002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0.77200000000000002</v>
      </c>
      <c r="E9" s="92">
        <f>IF(ISBLANK(comm_deliv), frac_children_health_facility,1)</f>
        <v>0.77200000000000002</v>
      </c>
      <c r="F9" s="92">
        <f>IF(ISBLANK(comm_deliv), frac_children_health_facility,1)</f>
        <v>0.77200000000000002</v>
      </c>
      <c r="G9" s="92">
        <f>IF(ISBLANK(comm_deliv), frac_children_health_facility,1)</f>
        <v>0.77200000000000002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8.2759326857692023E-2</v>
      </c>
      <c r="D11" s="92">
        <f>diarrhoea_1_5mo/26</f>
        <v>8.7277407385384601E-2</v>
      </c>
      <c r="E11" s="92">
        <f>diarrhoea_6_11mo/26</f>
        <v>8.7277407385384601E-2</v>
      </c>
      <c r="F11" s="92">
        <f>diarrhoea_12_23mo/26</f>
        <v>6.679243168384616E-2</v>
      </c>
      <c r="G11" s="92">
        <f>diarrhoea_24_59mo/26</f>
        <v>6.679243168384616E-2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0.14400000000000002</v>
      </c>
      <c r="I14" s="92">
        <f>food_insecure</f>
        <v>0.14400000000000002</v>
      </c>
      <c r="J14" s="92">
        <f>food_insecure</f>
        <v>0.14400000000000002</v>
      </c>
      <c r="K14" s="92">
        <f>food_insecure</f>
        <v>0.14400000000000002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0.94499999999999995</v>
      </c>
      <c r="I17" s="92">
        <f>frac_PW_health_facility</f>
        <v>0.94499999999999995</v>
      </c>
      <c r="J17" s="92">
        <f>frac_PW_health_facility</f>
        <v>0.94499999999999995</v>
      </c>
      <c r="K17" s="92">
        <f>frac_PW_health_facility</f>
        <v>0.94499999999999995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0.42</v>
      </c>
      <c r="M23" s="92">
        <f>famplan_unmet_need</f>
        <v>0.42</v>
      </c>
      <c r="N23" s="92">
        <f>famplan_unmet_need</f>
        <v>0.42</v>
      </c>
      <c r="O23" s="92">
        <f>famplan_unmet_need</f>
        <v>0.42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0.18152090148315453</v>
      </c>
      <c r="M24" s="92">
        <f>(1-food_insecure)*(0.49)+food_insecure*(0.7)</f>
        <v>0.52024000000000004</v>
      </c>
      <c r="N24" s="92">
        <f>(1-food_insecure)*(0.49)+food_insecure*(0.7)</f>
        <v>0.52024000000000004</v>
      </c>
      <c r="O24" s="92">
        <f>(1-food_insecure)*(0.49)+food_insecure*(0.7)</f>
        <v>0.52024000000000004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7.7794672064209092E-2</v>
      </c>
      <c r="M25" s="92">
        <f>(1-food_insecure)*(0.21)+food_insecure*(0.3)</f>
        <v>0.22295999999999999</v>
      </c>
      <c r="N25" s="92">
        <f>(1-food_insecure)*(0.21)+food_insecure*(0.3)</f>
        <v>0.22295999999999999</v>
      </c>
      <c r="O25" s="92">
        <f>(1-food_insecure)*(0.21)+food_insecure*(0.3)</f>
        <v>0.22295999999999999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8.9602044250488386E-2</v>
      </c>
      <c r="M26" s="92">
        <f>(1-food_insecure)*(0.3)</f>
        <v>0.25679999999999997</v>
      </c>
      <c r="N26" s="92">
        <f>(1-food_insecure)*(0.3)</f>
        <v>0.25679999999999997</v>
      </c>
      <c r="O26" s="92">
        <f>(1-food_insecure)*(0.3)</f>
        <v>0.25679999999999997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0.65108238220214798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2020-03-24T06:49:31Z</dcterms:modified>
</cp:coreProperties>
</file>