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96EE295-6518-498F-8F4F-D946AD78D091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H14" i="2"/>
  <c r="I14" i="2" s="1"/>
  <c r="H15" i="2"/>
  <c r="C20" i="1"/>
  <c r="G3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2" i="2"/>
  <c r="I18" i="2"/>
  <c r="I31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3" i="2"/>
  <c r="I11" i="2"/>
  <c r="I10" i="2"/>
  <c r="I9" i="2"/>
  <c r="I7" i="2"/>
  <c r="I5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707F2CB5-8331-407D-85E0-63D60FE050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F0ACF51-3AD0-4B7F-9B10-EE7701172FB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4398A0DE-2C2C-4986-A120-C96DB13CB6C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30979BB-5EC1-4981-A0F9-D35A0F3870C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62499F39-B4CC-4C6D-934F-524E78A09E7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B62D261-9171-4063-857D-51443585238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F04631A2-04E6-4A3C-9D06-4ADDFFB9069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DEA6A14-9F15-49BF-93A5-9A52E86B299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997D006E-271B-4025-8F6A-167FB2BFDDB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53878E3E-FC6E-40B8-94D0-D1D26A6FF7D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A4C3F93-AA7C-4555-B6DB-74C35057C47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39C7AE0-C153-424F-A824-8A967F9829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D4C2BFC-13BD-47D0-A6B7-D5761E58C4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F3FE7EC5-FB03-49C9-983C-04D85BCBA9C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2133807-44AA-432A-B4C4-17748EC08E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63D1F0C-310D-4F8F-B0F3-44117CFE7F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6D0B1DD-3392-4C57-89C6-833EB04112D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D9DEB1A-54B1-4894-85EA-C353BFC088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996CD37-794F-4F6E-9CC8-D83DEA8FB06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B2853792-E03C-44E2-8958-C8330077E41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FDD8A30C-9DF5-4900-9688-DA656DA9193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293D620-842E-4BE3-81A0-9D42E9810DC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24168D6-04AF-44F1-913F-48A254AFC31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36BEEE5-7235-4C66-9D07-9005EFB8A5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29D0361B-7DCB-4078-BE4D-2153F37DBD23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FF44538-94A6-40A4-9A06-3B849B5438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CDA0139-00C1-445C-A277-2B5E2846BE1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B1AB9D2-C83A-47BF-B913-9C7A83A50B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F29901C-56A4-41F5-B395-D02ECE63F7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DE1D05F-03E0-4795-B116-6E4FF144D8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B2B86FAF-B7A6-4D74-8616-6E49234773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AF0CAA60-5065-42FF-A934-ACB0305CB1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4DFB2A6-05C4-4902-9405-2C0872C7DB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469513B-509C-46BE-AF6A-D50E476BD652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1996E15D-95CF-41A6-9D08-FE525E2BD17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0DBBDDB-3D30-4C98-BC7E-D6916B473B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0A9CE214-877C-457C-8D94-94C74CADCC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5665B82B-AC6F-4F99-AE4F-F62DA2BC99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31AE0069-490A-4D64-964E-A7035829BE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C34682C7-FF6F-44A3-98DB-3CBDA1F10E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901404DD-71E1-4D06-8784-2F5635A1BE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E381F9B2-4373-4B04-9415-ADBB1E290C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6CDC3B9-A68A-40EE-A44A-2BFB9E65FD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FA8437E-7B79-47CA-B965-9A1E6750D0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7B75888-8DFC-4234-A5E0-FC571E94EE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C585B128-7580-43C3-9C52-922A5CC554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19A44FE7-D76D-4935-BE75-3316589592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FDED3E42-C140-4695-9424-FAFCEC567F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981437B-7471-47C5-8913-259E52455A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D9F8384-8334-49BD-B8D7-F69A794572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53CB866-19E5-4D36-BDF8-F17DF20DEB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FB830FFC-BB11-4B31-974C-1958936F81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2FFBF88-10B2-441C-B996-B125303A31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6D33912A-0AAF-41F8-9F76-45E19A15D7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9375399-D4E9-4283-A73C-B0421E197C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E9A73AA-7376-4F2E-A5E9-2ED5590284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C45C3E62-A09E-4586-82A2-3D3B4E592E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72FC48F-0E6F-4322-8D35-FA0B1FA96A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EFDF7964-A812-4AC9-A187-EBB622BBD2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8C914F5-A5F4-40C1-B58D-6E23DF1566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25D58DF0-D1C1-4E11-8E6A-A6AD378536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FB8D4DD-0231-45DB-9801-2D9A35962B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EECD4045-F470-4E27-A7F4-32D932FF0F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B9B3ED8-BA86-4AF4-B201-05D0ADE38C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5B2AF30-780F-4883-9A65-1D9A9345E0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7AF14AC-BFC2-4B3E-8032-595BB557A0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0E28927-388D-496E-B4B5-B26A18BF9E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72D59DBF-A77E-410F-B312-CC79D8E624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421205A-8C26-468C-87E9-15DB340A7A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69AA577-83C4-49D6-A337-7088D2E468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09056D3-043A-4AAB-AC67-AFD4752F0B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CF927DD-90DA-4659-B3C2-95E842D063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B5ABB883-3F3D-4D4E-82A6-8A533603BD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E232DC1-1443-41D2-806C-E59A132F09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31A64D45-2B14-4561-9FF6-7E5B08C8B8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CF7D52EC-7D7B-4FE4-9B1D-98A284E760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AEA0FED-0645-45A0-913D-7E9BBE84C5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00EEEBC2-7BD1-4722-A242-2DD05C9F4F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1EF6589-C174-44CF-9D44-17DF07C028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98005A0-4169-47C4-9353-791EC05645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4BD10E7-857A-4CE2-A96B-766BE92E7E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D0628DC0-7ADA-43D4-BF66-67B571A448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B32D6F3-C718-48EA-99B3-4E1CC9F9D1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7E55AE5-6964-4A0D-812D-0B33361E52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02FCEC06-B22D-4C90-AA3D-604B662F22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91050AC-9FD7-4393-ADA9-B5267DB1DD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57FD31C-DAED-4589-9638-74078E3F73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1284BBD-9FBB-462F-81B9-1898A7135B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67373826-01DA-43C1-B610-BB57F2144E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26D3B04-B2DF-4E12-A34D-9AC31700A1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228961A-F1F3-49A6-9A13-7F18AB5C52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E8C14CBE-C82D-47D1-BBF0-6BC28394BD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91191A99-4FA0-4E19-9143-B78BBD7FA8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E0EA7677-60DC-4BCA-9948-272DFFC9CE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5086E4CD-FE1B-470A-AE53-8642B0E957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C04FBC95-AC88-40B2-A049-B0B2DE6356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5ABEDC9-BE84-41F5-857A-74065C3231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D3C0C06-70B0-4BB6-98D4-33F053B2A6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41D97D5-F8E1-4D42-83D6-87B4648D32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4E640045-C076-44D2-8B21-20D5FBFCDD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03A8A91-0B24-4D02-984D-72ECF4F4AE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0191B99-AAEF-4555-BEC7-8E74564840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2F851C69-BA3F-406C-93EC-D1FA38F117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46BB60E-EB73-46D2-A9D0-E8EC47A12A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A38B82A7-43B7-4660-8B13-7446FA490B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E3FC069-85D1-40EA-94BA-5A557746D5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636FBE5-4DF7-4F05-BD11-219992C7FD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59AAA686-590C-43FB-B7F1-EB52C3F50D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49EBAA3-D854-4170-AB6F-D630210951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AFEBDD7-F233-48D8-A400-E9D9FA4201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583F5FE5-C792-441D-8441-58908EDEB6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DD6C70B8-9013-4A04-B3F9-A8F12ED199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836B931B-7D33-46CD-AB05-B92CE8EEFE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73253FF-C26D-4FAD-A8E8-FA57DA4044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D52344ED-C12F-4D45-870F-A37097A883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45C19B6-379E-442F-B1B1-3F9C384C9B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163CB3D-EB04-4D88-B404-3587A15F4CF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E78C83A9-746B-4C14-A036-14C6D772CB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D125A36-5DA2-4F52-915F-A11D4485E8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09A1FAD-8412-4C7C-B03C-99713C9609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5B38D69-AF12-41E3-A1E4-5F75708927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30220E04-4B02-49E9-B4F4-4F0FEA9B40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72AD605-0F96-4918-A2B0-6E68E7A52A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9060BA10-DDB9-46B9-9F20-320D9460BE8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EDAB5D5E-7FC7-4A2B-A0FB-B88BBE2411A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28337322-779A-4508-81B6-F9F734F472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F6702B6-784A-44B5-BBD5-E63D1FEE0B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5A177251-EA10-451B-85D1-8E69739EB5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E3A02226-32F1-4532-B265-740369BC0C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DE9CC2D-1C1B-4EED-A6D7-28A4E07CEF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4F3982BD-4BFE-40FE-AF49-7733B659D9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CA4EC888-8BB1-47C7-B6F9-681EDC64D0C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0093822-AB0D-4289-9905-8BE216DDAA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7FAA666-F1B6-400C-BC4F-24E06C009A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D894E317-F9BB-4253-BCF1-395C7769F22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1C152C7B-D6B8-4B02-9731-ADE458CBAD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76A38D30-25C9-4DB0-8CFD-77BE1E2F93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96E6784-8DCA-4611-BD93-01E1C5F6BC7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5E7271E-1438-4B61-9C83-BCD015674B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4506741-10AB-48E7-8526-0236C91AF9A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EC5AA576-A41C-46E0-9965-3372ADB35A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16174A1-CDC2-4BBF-AF4C-4AD3E064CD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79BD8A93-3D5E-4ACA-9154-11A29DD322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A7B7B7CB-8B79-45E3-97AF-47A5494E78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6FD69A9-281D-4299-B370-A80D73980C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3BC0685-3633-4187-82B9-325DFF3288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E11F93EB-6A76-453D-856F-001F8EAF84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D7EA9D6-C599-47EE-8F6F-5F447E67471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AAA6606-C3ED-4492-8912-EF8DDDB51B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C9A2C25-734D-49A6-A5A5-EFB2A3597B4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3739BC18-72E3-4934-91E7-BA037E635F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ED428F78-5D06-494C-B8E8-96A94937F58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05BCACF-6AE2-4387-907E-214A1DC529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382BD97-16FB-46BD-A614-1270CC0D3C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6B25660-CC69-4E1E-B448-9DED7D751B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1CC661C-0923-45A8-8A80-BDBF6C3FBEF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250522D-9C56-4C98-AFCC-0439F3416D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F83C49A-3F64-4636-A876-FD52B276F8C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A98CF40-B266-4514-8E68-88243A0B35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456A453-FF15-47BF-9589-62079BA6A4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621569BC-5C10-4925-9A5B-51CD1CA066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648DB34C-A23B-40B8-9346-ACD39F48DD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082D4BF-F7C1-4194-8A1D-0BAEA15B6F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87D305D-330E-40AA-82CB-DE6791FBCF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25BC5D7-AFED-42FD-BDE1-EF44D6136D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5DCA9C2D-36A7-4CE9-961C-6408773A55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5ED31D19-8E42-459A-A5B8-A07BAC2E44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19C80202-B488-473B-930B-954C7A452D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DFA2B22-43F9-470E-B1B6-17CF0ED4FE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E904C24F-51B8-4A97-9A2F-3B00FB2B47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41BD54EA-19D7-4F08-AD3E-69909EAC67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DC020AE-E35B-4841-A178-92843D9FA5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7A05C8F-38B2-4C7D-BE4F-FBC8F598B8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DE741FD4-DA73-4F3E-BB9F-41BB9D9203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A4B945A-3132-480A-AFFA-5F6C7CF3EEC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EC98D1D-677A-4233-B4AA-CFBDDC359F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16C921F-938A-48BF-8790-599A686D6B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FCB42A65-4B43-4CD1-8A2D-20DD433DDF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E24289E-4A75-4083-AFC6-39CBC171F2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322790CD-955A-454B-8FB2-12FEDDFC51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9B7B9B9E-9A6E-40B2-85EC-607F80FBDE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58D56B19-41D6-41C5-B255-3DFAA81F59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7286E51B-F78B-4A9F-B479-30876B528D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1E04CCAE-0F41-4E49-883D-244F28E93F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C682404-E27A-4F78-84F0-CD2D1A37E7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ECADD499-937A-48FC-9E1D-E4FD098842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FD73D9FC-5945-4FD1-8F10-7CB6D13353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D213682-8B11-491D-BF24-4B52E7B416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F9AA107-35B3-4C1A-B3F0-F01090F30A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85F1806-EAF0-4B4E-8358-9B47DFBECC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F4265AC3-1018-4301-9B73-6ADD717BAE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DE4471F-DC74-494E-AD03-C4AA5893C4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133FFA3D-5036-4BB2-998B-5572D31A3A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5DEE2829-23F7-4F08-8ED3-E3F0C0F210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06FC464A-CB4D-4715-AD16-3D539E2808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221A63B-32DF-4706-9AE1-8F9B301B71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3C521359-6593-4140-B837-BA607EE8E9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A4A71EA-D6CA-439A-A6D1-AD74C81CD3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B484F17-8126-4524-A1AE-172B5B18C6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6E2F0A8-4E12-4AB8-B365-2838EA9028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3B094B1-EE34-4C1B-851F-ABDA6B48BF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D2655849-B1CF-4E4E-A66D-C6E285E444B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8DFE0D67-5763-4F9D-89EF-CEBC5B6A55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EBA0B9EB-E54F-42EC-9FBA-1E2E68765A2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5F87967-4E06-4824-8BEB-2184D50EAB6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7A4E947B-71FF-42D6-9170-DF65A8E5CC0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61666960-96E7-4677-AE85-F27910AF822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40890E2-DBA5-466D-949B-AF3E7B4AF0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48F0EB99-84CD-46E3-93B2-4DCEB620BE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11F3CE8C-26D4-49D6-9D40-BC56911E5F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F2E85FD-393D-4DAC-A55A-A6F36DA360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39DF69B5-7E62-4C68-8132-6FBFECA0839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65FDD8E-4446-455A-BE2C-9C009E27A7C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8223D78A-3EC0-4AD9-8B74-641071E770A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5A546C7-0655-45BF-A193-E7F264EDD125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F926851D-C694-48E7-9205-9C9E8D47F17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4E289AF9-9C77-4CB9-80CB-D2E321778FD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0513982B-3B9A-482A-8CC3-FA0225BCE2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BF4C3D33-4B62-4608-BBAA-6CC04367314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DAFA50D-3F75-4DD6-88ED-E0C7420BF6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7192A1E-4F26-49FE-A179-9918FE0C3D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E9829899-1A21-40A9-9346-6ECF243EA0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9CE94CE-15C5-4EC7-9A66-90CAAFAF16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5B75CB1-5009-439E-A226-F7BDBBDD20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DAC21A62-3F36-4917-A69C-968EEE995D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067AB5B3-2A01-4189-AD4A-21200065A4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0A1D6825-BB1A-4DDD-AC65-A3C50E1EC1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CD213FDD-65F9-4B24-8702-26414A9144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A1843B06-77F2-4F55-9CFC-8C62C62C8A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63ED2E6C-C45D-4F14-B0F7-DCC02BA2B2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EAD115CD-B170-4C1B-AB37-FB850D45A7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0A86D80-03C2-4DD9-8E16-FD5AED2302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AD648D74-8FA2-453E-B31D-E91BFB02AD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0B19B36-01EE-4EC4-84FA-DE1E03311A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63472465-1E4F-4CDA-916D-B3C3046428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74462CCE-95C0-4247-9AC2-7F1D79F177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13739E4C-FA2F-44A9-ACB1-CE55FFBBAE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C828FBC-CC6F-416C-BAC2-F30E516DEE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53CA8639-75B6-4E8E-A795-B247DBC375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25276E3E-EA99-4A9B-9C5A-9FB9B4F3D0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B93BEDFF-1B2C-4103-B2B5-BB20F82D5D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93AE4773-FDC8-496B-950E-4591372A6A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514F06FE-5E33-4D9B-BF54-36586AD05B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63F97B4-3F65-4A4A-A224-42B26C2D87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84A7646-989D-47D9-B4C5-677C07610E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E4AF041-F428-4EF7-B4F0-2046734A26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F8D3BC8B-8800-4B16-9AB9-1A6F8EAE58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AA64C1A-8E79-4F2A-8690-086BCF2B3F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190592D-0A8A-4925-A567-2296AFE184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3FEE05C-4AA2-419E-9DE5-54AFCACE10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60D840E6-679A-44EC-9F68-1C974F3697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2CCCA3F-CA59-4D98-B8F1-21C7B7DBB3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7F1EB0F2-567A-4306-BD1E-7EE72C9A7C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3EB2434A-E1DB-4335-96EC-B346AA79A4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00786314-A770-4EFC-84B3-F41A89FD01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8C03B488-3FEB-425B-B3A7-BD15CD53F2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01DBC4EA-1CD1-472D-A566-FDD8B1629C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859D68A3-696B-4104-94B4-0116F28C7E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BE7D2944-8206-4B75-AE42-F38CF47E56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71F6594-4D4C-4F6C-A86A-613ACAC808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8BA2F99-359C-4233-BB0C-0FB042DF9D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7B4FC43-5BC7-41C1-934C-1C4E38542A8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7018256-ADAD-49D6-8FDB-A130F007E29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A91D7284-74EF-49EF-BA70-31845DDCAB4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F577962-A89B-46BE-AC18-AC27F593C97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90342FD-A4FE-46DD-8473-3057F15AB20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B73ABE3-F47C-4973-977C-8C2074E10EF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230A16F-C180-4F93-9A73-DA32E607D77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48C9F44-429D-4091-B2A0-B9C33B63BF9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537676D-18BE-48D2-980E-4A413B67E0A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17E0B70-9A6D-45D4-BBD5-0826ACEB3C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DA15C12-209F-40EE-A706-B4A93998953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68B3280-BD6A-4911-BCE0-4A70A2AE9B9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2CB1DDB-4A99-4C71-99DF-EFAB1563F79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8DA67251-4E0A-4196-91DE-31EB4042E5A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8C4EE6C9-C4AF-4F51-AAE4-67F6DF9A2CA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4BCA4B5C-8A23-4A1D-940F-AFFA7130201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FFE97E7-A87D-4023-A242-6649C89BF5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83AADDDE-6EC6-4385-83F4-490974F3647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C3E138D-A2DE-43A9-A6BE-8DCDF732785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972FDA7C-031A-4D64-B5E8-E5364F2EC90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E6F37B1-E6E4-4F0A-86F4-A4D0BD9238D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7FE6FB7-3B2D-4C4C-8AF6-8D1B48AE9BF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329AF1A7-54FD-47BA-9EC9-CC575329EC9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2CB31991-A99E-47E9-90C7-FA6C1BEF9AA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F137937-25A3-4418-8EFF-927BC596FA6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7FFA1F44-F20C-4A63-AA9F-8DF007FD139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C8026B51-0922-4B83-9025-E0C73DF2A371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72F016FB-8D48-4048-8FEB-4C14D3CDC8C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8F6E537E-6682-4E8B-AB2D-A8B9231C792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340DC081-2BB4-408E-838F-7DAB60E5E70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DCB9462-F44D-4D3E-8869-969ACF48E31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661E67A2-CFEA-4753-A123-C66FC71AC5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C4F6E63-B459-47DC-A112-9FF286F4068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31CC11E-9AAF-4EEC-85E3-7F15F3CBF3D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763C1AE7-29A7-43D4-9895-A39C3078DED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3EB3E746-B1DD-483F-855E-0BF29F7400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13A7238-C6D6-4EE0-A825-2AF119A840C3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AC2C16B-4D2C-4979-9952-71CA7EFBDE8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491ED90-8242-4FA4-B07B-1E358DCCC81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68864473-9C10-412B-8E15-940E0430D06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77E6DD2-3284-4DCA-B36A-A4B7F09E309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CA4FD7C0-7C3B-4D4A-9763-056FF6D8205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66C037F8-8956-443E-98EC-89B5A50D456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3336BF3-8330-45F5-913A-8064F1EF834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B43EFE8-4700-4599-AF99-744FD0902A2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335D2FF-6A12-47BC-8858-4B1B4FBCB05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6265E5B6-711C-43B1-B5CC-D7DB470891E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FFB553F8-C558-4430-A055-17235B571ED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D0435984-BEAB-4729-A163-69ED627E222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3040AA5-505C-424C-AE8B-D31D3A86280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94A0046-98B9-4867-8EC0-B0D5738A8C7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CD8CA534-0C49-45BF-A62B-B809A612AEF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DB0884EB-F2FB-4337-9257-3DFB54D510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3690627-D03A-480A-9000-14C10EEA6F0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C16BB174-1732-48BA-8E5B-D2A7B96F1A6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8880291-ACD8-4FF2-99D1-5A81026811D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1B84F13-7D9F-46BD-8461-CADFAD5F548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E2898A8-9284-49EC-AE9F-A5EE2A16FEA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EF2A17C-FE80-4716-BB07-9680E27E198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A7606894-378C-4271-B9B3-6CCC513D5DE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F649252-0CC8-4007-B3AF-E49650B6E48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2DE968C-CF3D-4B55-8F18-FF9B2F8F5C6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<sst xmlns="http://schemas.openxmlformats.org/spreadsheetml/2006/main" count="1102" uniqueCount="271">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</sst>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1952436</v>
      </c>
    </row>
    <row r="8" spans="1:3" ht="15" customHeight="1" x14ac:dyDescent="0.25">
      <c r="B8" s="7" t="s">
        <v>106</v>
      </c>
      <c r="C8" s="70">
        <v>2.5000000000000001E-2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1</v>
      </c>
    </row>
    <row r="11" spans="1:3" ht="15" customHeight="1" x14ac:dyDescent="0.25">
      <c r="B11" s="7" t="s">
        <v>108</v>
      </c>
      <c r="C11" s="70">
        <v>0.95299999999999996</v>
      </c>
    </row>
    <row r="12" spans="1:3" ht="15" customHeight="1" x14ac:dyDescent="0.25">
      <c r="B12" s="7" t="s">
        <v>109</v>
      </c>
      <c r="C12" s="70">
        <v>0.81200000000000006</v>
      </c>
    </row>
    <row r="13" spans="1:3" ht="15" customHeight="1" x14ac:dyDescent="0.25">
      <c r="B13" s="7" t="s">
        <v>110</v>
      </c>
      <c r="C13" s="70">
        <v>0.20399999999999999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8.2799999999999999E-2</v>
      </c>
    </row>
    <row r="24" spans="1:3" ht="15" customHeight="1" x14ac:dyDescent="0.25">
      <c r="B24" s="20" t="s">
        <v>102</v>
      </c>
      <c r="C24" s="71">
        <v>0.55079999999999996</v>
      </c>
    </row>
    <row r="25" spans="1:3" ht="15" customHeight="1" x14ac:dyDescent="0.25">
      <c r="B25" s="20" t="s">
        <v>103</v>
      </c>
      <c r="C25" s="71">
        <v>0.33279999999999998</v>
      </c>
    </row>
    <row r="26" spans="1:3" ht="15" customHeight="1" x14ac:dyDescent="0.25">
      <c r="B26" s="20" t="s">
        <v>104</v>
      </c>
      <c r="C26" s="71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0.36599999999999999</v>
      </c>
    </row>
    <row r="30" spans="1:3" ht="14.25" customHeight="1" x14ac:dyDescent="0.25">
      <c r="B30" s="30" t="s">
        <v>76</v>
      </c>
      <c r="C30" s="73">
        <v>8.5999999999999993E-2</v>
      </c>
    </row>
    <row r="31" spans="1:3" ht="14.25" customHeight="1" x14ac:dyDescent="0.25">
      <c r="B31" s="30" t="s">
        <v>77</v>
      </c>
      <c r="C31" s="73">
        <v>0.14000000000000001</v>
      </c>
    </row>
    <row r="32" spans="1:3" ht="14.25" customHeight="1" x14ac:dyDescent="0.25">
      <c r="B32" s="30" t="s">
        <v>78</v>
      </c>
      <c r="C32" s="73">
        <v>0.40799999999999997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5.3</v>
      </c>
    </row>
    <row r="38" spans="1:5" ht="15" customHeight="1" x14ac:dyDescent="0.25">
      <c r="B38" s="16" t="s">
        <v>91</v>
      </c>
      <c r="C38" s="75">
        <v>8.9</v>
      </c>
      <c r="D38" s="17"/>
      <c r="E38" s="18"/>
    </row>
    <row r="39" spans="1:5" ht="15" customHeight="1" x14ac:dyDescent="0.25">
      <c r="B39" s="16" t="s">
        <v>90</v>
      </c>
      <c r="C39" s="75">
        <v>10</v>
      </c>
      <c r="D39" s="17"/>
      <c r="E39" s="17"/>
    </row>
    <row r="40" spans="1:5" ht="15" customHeight="1" x14ac:dyDescent="0.25">
      <c r="B40" s="16" t="s">
        <v>171</v>
      </c>
      <c r="C40" s="75">
        <v>0.12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1.9699999999999999E-2</v>
      </c>
      <c r="D45" s="17"/>
    </row>
    <row r="46" spans="1:5" ht="15.75" customHeight="1" x14ac:dyDescent="0.25">
      <c r="B46" s="16" t="s">
        <v>11</v>
      </c>
      <c r="C46" s="71">
        <v>6.8600000000000008E-2</v>
      </c>
      <c r="D46" s="17"/>
    </row>
    <row r="47" spans="1:5" ht="15.75" customHeight="1" x14ac:dyDescent="0.25">
      <c r="B47" s="16" t="s">
        <v>12</v>
      </c>
      <c r="C47" s="71">
        <v>0.1459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1.190909614645</v>
      </c>
      <c r="D51" s="17"/>
    </row>
    <row r="52" spans="1:4" ht="15" customHeight="1" x14ac:dyDescent="0.25">
      <c r="B52" s="16" t="s">
        <v>125</v>
      </c>
      <c r="C52" s="76">
        <v>1.0328480392499899</v>
      </c>
    </row>
    <row r="53" spans="1:4" ht="15.75" customHeight="1" x14ac:dyDescent="0.25">
      <c r="B53" s="16" t="s">
        <v>126</v>
      </c>
      <c r="C53" s="76">
        <v>1.0328480392499899</v>
      </c>
    </row>
    <row r="54" spans="1:4" ht="15.75" customHeight="1" x14ac:dyDescent="0.25">
      <c r="B54" s="16" t="s">
        <v>127</v>
      </c>
      <c r="C54" s="76">
        <v>0.81936124136499999</v>
      </c>
    </row>
    <row r="55" spans="1:4" ht="15.75" customHeight="1" x14ac:dyDescent="0.25">
      <c r="B55" s="16" t="s">
        <v>128</v>
      </c>
      <c r="C55" s="76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0.5361734804577476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80.804937896193479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40.390616174846656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771.46935681029902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5.3213875403317896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1.9900818893285463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1.9900818893285463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1.9900818893285463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1.9900818893285463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13.522915618642564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13.522915618642564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1.2296814185379119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0.64599999999999991</v>
      </c>
      <c r="C18" s="85">
        <v>0.95</v>
      </c>
      <c r="D18" s="87">
        <v>17.677662978455754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17.677662978455754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17.677662978455754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60.730148203505237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23.604022972406522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4.5985477715053404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19.083902027023637</v>
      </c>
      <c r="E24" s="86" t="s">
        <v>202</v>
      </c>
    </row>
    <row r="25" spans="1:5" ht="15.75" customHeight="1" x14ac:dyDescent="0.25">
      <c r="A25" s="52" t="s">
        <v>87</v>
      </c>
      <c r="B25" s="85">
        <v>0.71200000000000008</v>
      </c>
      <c r="C25" s="85">
        <v>0.95</v>
      </c>
      <c r="D25" s="86">
        <v>19.083915199876209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6.3681395967284322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10.777301273453528</v>
      </c>
      <c r="E27" s="86" t="s">
        <v>202</v>
      </c>
    </row>
    <row r="28" spans="1:5" ht="15.75" customHeight="1" x14ac:dyDescent="0.25">
      <c r="A28" s="52" t="s">
        <v>84</v>
      </c>
      <c r="B28" s="85">
        <v>0.32</v>
      </c>
      <c r="C28" s="85">
        <v>0.95</v>
      </c>
      <c r="D28" s="86">
        <v>1.0344115656773993</v>
      </c>
      <c r="E28" s="86" t="s">
        <v>202</v>
      </c>
    </row>
    <row r="29" spans="1:5" ht="15.75" customHeight="1" x14ac:dyDescent="0.25">
      <c r="A29" s="52" t="s">
        <v>58</v>
      </c>
      <c r="B29" s="85">
        <v>0.64599999999999991</v>
      </c>
      <c r="C29" s="85">
        <v>0.95</v>
      </c>
      <c r="D29" s="86">
        <v>165.62974913682319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1.2003896789515196</v>
      </c>
      <c r="E30" s="86" t="s">
        <v>202</v>
      </c>
    </row>
    <row r="31" spans="1:5" ht="15.75" customHeight="1" x14ac:dyDescent="0.25">
      <c r="A31" s="52" t="s">
        <v>28</v>
      </c>
      <c r="B31" s="85">
        <v>0.39200000000000002</v>
      </c>
      <c r="C31" s="85">
        <v>0.95</v>
      </c>
      <c r="D31" s="86">
        <v>2.6928411357214559</v>
      </c>
      <c r="E31" s="86" t="s">
        <v>202</v>
      </c>
    </row>
    <row r="32" spans="1:5" ht="15.75" customHeight="1" x14ac:dyDescent="0.25">
      <c r="A32" s="52" t="s">
        <v>83</v>
      </c>
      <c r="B32" s="85">
        <v>0.99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0.66700000000000004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0.97499999999999998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0.92900000000000005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0.61399999999999999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2.0061220772807458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2.7139633418358957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0.2075759868</v>
      </c>
      <c r="C3" s="26">
        <f>frac_mam_1_5months * 2.6</f>
        <v>0.2075759868</v>
      </c>
      <c r="D3" s="26">
        <f>frac_mam_6_11months * 2.6</f>
        <v>4.9097973600000004E-2</v>
      </c>
      <c r="E3" s="26">
        <f>frac_mam_12_23months * 2.6</f>
        <v>4.5170680880000008E-2</v>
      </c>
      <c r="F3" s="26">
        <f>frac_mam_24_59months * 2.6</f>
        <v>3.185864942000001E-2</v>
      </c>
    </row>
    <row r="4" spans="1:6" ht="15.75" customHeight="1" x14ac:dyDescent="0.25">
      <c r="A4" s="3" t="s">
        <v>66</v>
      </c>
      <c r="B4" s="26">
        <f>frac_sam_1month * 2.6</f>
        <v>0.11763898120000001</v>
      </c>
      <c r="C4" s="26">
        <f>frac_sam_1_5months * 2.6</f>
        <v>0.11763898120000001</v>
      </c>
      <c r="D4" s="26">
        <f>frac_sam_6_11months * 2.6</f>
        <v>2.7487298799999997E-2</v>
      </c>
      <c r="E4" s="26">
        <f>frac_sam_12_23months * 2.6</f>
        <v>2.0444892520000001E-2</v>
      </c>
      <c r="F4" s="26">
        <f>frac_sam_24_59months * 2.6</f>
        <v>1.5946637113333332E-2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390337.47263999999</v>
      </c>
      <c r="C2" s="78">
        <v>515299</v>
      </c>
      <c r="D2" s="78">
        <v>1500001</v>
      </c>
      <c r="E2" s="78">
        <v>1375719</v>
      </c>
      <c r="F2" s="78">
        <v>1123937</v>
      </c>
      <c r="G2" s="22">
        <f t="shared" ref="G2:G40" si="0">C2+D2+E2+F2</f>
        <v>4514956</v>
      </c>
      <c r="H2" s="22">
        <f t="shared" ref="H2:H40" si="1">(B2 + stillbirth*B2/(1000-stillbirth))/(1-abortion)</f>
        <v>451599.15617027925</v>
      </c>
      <c r="I2" s="22">
        <f>G2-H2</f>
        <v>4063356.8438297207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376483.35833333334</v>
      </c>
      <c r="C3" s="78">
        <v>516000</v>
      </c>
      <c r="D3" s="78">
        <v>1429000</v>
      </c>
      <c r="E3" s="78">
        <v>1429000</v>
      </c>
      <c r="F3" s="78">
        <v>1141000</v>
      </c>
      <c r="G3" s="22">
        <f t="shared" si="0"/>
        <v>4515000</v>
      </c>
      <c r="H3" s="22">
        <f t="shared" si="1"/>
        <v>435570.70189951156</v>
      </c>
      <c r="I3" s="22">
        <f t="shared" ref="I3:I15" si="3">G3-H3</f>
        <v>4079429.2981004883</v>
      </c>
    </row>
    <row r="4" spans="1:9" ht="15.75" customHeight="1" x14ac:dyDescent="0.25">
      <c r="A4" s="7">
        <f t="shared" si="2"/>
        <v>2019</v>
      </c>
      <c r="B4" s="77">
        <v>362046.27666666661</v>
      </c>
      <c r="C4" s="78">
        <v>528000</v>
      </c>
      <c r="D4" s="78">
        <v>1356000</v>
      </c>
      <c r="E4" s="78">
        <v>1479000</v>
      </c>
      <c r="F4" s="78">
        <v>1158000</v>
      </c>
      <c r="G4" s="22">
        <f t="shared" si="0"/>
        <v>4521000</v>
      </c>
      <c r="H4" s="22">
        <f t="shared" si="1"/>
        <v>418867.78620419698</v>
      </c>
      <c r="I4" s="22">
        <f t="shared" si="3"/>
        <v>4102132.213795803</v>
      </c>
    </row>
    <row r="5" spans="1:9" ht="15.75" customHeight="1" x14ac:dyDescent="0.25">
      <c r="A5" s="7">
        <f t="shared" si="2"/>
        <v>2020</v>
      </c>
      <c r="B5" s="77">
        <v>347076.67499999999</v>
      </c>
      <c r="C5" s="78">
        <v>550000</v>
      </c>
      <c r="D5" s="78">
        <v>1287000</v>
      </c>
      <c r="E5" s="78">
        <v>1521000</v>
      </c>
      <c r="F5" s="78">
        <v>1173000</v>
      </c>
      <c r="G5" s="22">
        <f t="shared" si="0"/>
        <v>4531000</v>
      </c>
      <c r="H5" s="22">
        <f t="shared" si="1"/>
        <v>401548.77392707771</v>
      </c>
      <c r="I5" s="22">
        <f t="shared" si="3"/>
        <v>4129451.2260729223</v>
      </c>
    </row>
    <row r="6" spans="1:9" ht="15.75" customHeight="1" x14ac:dyDescent="0.25">
      <c r="A6" s="7">
        <f t="shared" si="2"/>
        <v>2021</v>
      </c>
      <c r="B6" s="77">
        <v>341528.94760000001</v>
      </c>
      <c r="C6" s="78">
        <v>584000</v>
      </c>
      <c r="D6" s="78">
        <v>1228000</v>
      </c>
      <c r="E6" s="78">
        <v>1559000</v>
      </c>
      <c r="F6" s="78">
        <v>1187000</v>
      </c>
      <c r="G6" s="22">
        <f t="shared" si="0"/>
        <v>4558000</v>
      </c>
      <c r="H6" s="22">
        <f t="shared" si="1"/>
        <v>395130.35604995687</v>
      </c>
      <c r="I6" s="22">
        <f t="shared" si="3"/>
        <v>4162869.6439500432</v>
      </c>
    </row>
    <row r="7" spans="1:9" ht="15.75" customHeight="1" x14ac:dyDescent="0.25">
      <c r="A7" s="7">
        <f t="shared" si="2"/>
        <v>2022</v>
      </c>
      <c r="B7" s="77">
        <v>335671.64820000005</v>
      </c>
      <c r="C7" s="78">
        <v>627000</v>
      </c>
      <c r="D7" s="78">
        <v>1173000</v>
      </c>
      <c r="E7" s="78">
        <v>1587000</v>
      </c>
      <c r="F7" s="78">
        <v>1198000</v>
      </c>
      <c r="G7" s="22">
        <f t="shared" si="0"/>
        <v>4585000</v>
      </c>
      <c r="H7" s="22">
        <f t="shared" si="1"/>
        <v>388353.78026135406</v>
      </c>
      <c r="I7" s="22">
        <f t="shared" si="3"/>
        <v>4196646.2197386455</v>
      </c>
    </row>
    <row r="8" spans="1:9" ht="15.75" customHeight="1" x14ac:dyDescent="0.25">
      <c r="A8" s="7">
        <f t="shared" si="2"/>
        <v>2023</v>
      </c>
      <c r="B8" s="77">
        <v>329550.55920000013</v>
      </c>
      <c r="C8" s="78">
        <v>677000</v>
      </c>
      <c r="D8" s="78">
        <v>1127000</v>
      </c>
      <c r="E8" s="78">
        <v>1603000</v>
      </c>
      <c r="F8" s="78">
        <v>1210000</v>
      </c>
      <c r="G8" s="22">
        <f t="shared" si="0"/>
        <v>4617000</v>
      </c>
      <c r="H8" s="22">
        <f t="shared" si="1"/>
        <v>381272.01429984567</v>
      </c>
      <c r="I8" s="22">
        <f t="shared" si="3"/>
        <v>4235727.9857001547</v>
      </c>
    </row>
    <row r="9" spans="1:9" ht="15.75" customHeight="1" x14ac:dyDescent="0.25">
      <c r="A9" s="7">
        <f t="shared" si="2"/>
        <v>2024</v>
      </c>
      <c r="B9" s="77">
        <v>323174.17300000013</v>
      </c>
      <c r="C9" s="78">
        <v>729000</v>
      </c>
      <c r="D9" s="78">
        <v>1098000</v>
      </c>
      <c r="E9" s="78">
        <v>1602000</v>
      </c>
      <c r="F9" s="78">
        <v>1229000</v>
      </c>
      <c r="G9" s="22">
        <f t="shared" si="0"/>
        <v>4658000</v>
      </c>
      <c r="H9" s="22">
        <f t="shared" si="1"/>
        <v>373894.88340882416</v>
      </c>
      <c r="I9" s="22">
        <f t="shared" si="3"/>
        <v>4284105.116591176</v>
      </c>
    </row>
    <row r="10" spans="1:9" ht="15.75" customHeight="1" x14ac:dyDescent="0.25">
      <c r="A10" s="7">
        <f t="shared" si="2"/>
        <v>2025</v>
      </c>
      <c r="B10" s="77">
        <v>316550.98200000002</v>
      </c>
      <c r="C10" s="78">
        <v>779000</v>
      </c>
      <c r="D10" s="78">
        <v>1091000</v>
      </c>
      <c r="E10" s="78">
        <v>1582000</v>
      </c>
      <c r="F10" s="78">
        <v>1260000</v>
      </c>
      <c r="G10" s="22">
        <f t="shared" si="0"/>
        <v>4712000</v>
      </c>
      <c r="H10" s="22">
        <f t="shared" si="1"/>
        <v>366232.21283168183</v>
      </c>
      <c r="I10" s="22">
        <f t="shared" si="3"/>
        <v>4345767.7871683184</v>
      </c>
    </row>
    <row r="11" spans="1:9" ht="15.75" customHeight="1" x14ac:dyDescent="0.25">
      <c r="A11" s="7">
        <f t="shared" si="2"/>
        <v>2026</v>
      </c>
      <c r="B11" s="77">
        <v>315027.80439999996</v>
      </c>
      <c r="C11" s="78">
        <v>826000</v>
      </c>
      <c r="D11" s="78">
        <v>1103000</v>
      </c>
      <c r="E11" s="78">
        <v>1542000</v>
      </c>
      <c r="F11" s="78">
        <v>1300000</v>
      </c>
      <c r="G11" s="22">
        <f t="shared" si="0"/>
        <v>4771000</v>
      </c>
      <c r="H11" s="22">
        <f t="shared" si="1"/>
        <v>364469.97946421849</v>
      </c>
      <c r="I11" s="22">
        <f t="shared" si="3"/>
        <v>4406530.020535782</v>
      </c>
    </row>
    <row r="12" spans="1:9" ht="15.75" customHeight="1" x14ac:dyDescent="0.25">
      <c r="A12" s="7">
        <f t="shared" si="2"/>
        <v>2027</v>
      </c>
      <c r="B12" s="77">
        <v>313382.90999999997</v>
      </c>
      <c r="C12" s="78">
        <v>871000</v>
      </c>
      <c r="D12" s="78">
        <v>1136000</v>
      </c>
      <c r="E12" s="78">
        <v>1483000</v>
      </c>
      <c r="F12" s="78">
        <v>1348000</v>
      </c>
      <c r="G12" s="22">
        <f t="shared" si="0"/>
        <v>4838000</v>
      </c>
      <c r="H12" s="22">
        <f t="shared" si="1"/>
        <v>362566.9264009163</v>
      </c>
      <c r="I12" s="22">
        <f t="shared" si="3"/>
        <v>4475433.0735990833</v>
      </c>
    </row>
    <row r="13" spans="1:9" ht="15.75" customHeight="1" x14ac:dyDescent="0.25">
      <c r="A13" s="7">
        <f t="shared" si="2"/>
        <v>2028</v>
      </c>
      <c r="B13" s="77">
        <v>311603.00079999998</v>
      </c>
      <c r="C13" s="78">
        <v>911000</v>
      </c>
      <c r="D13" s="78">
        <v>1188000</v>
      </c>
      <c r="E13" s="78">
        <v>1414000</v>
      </c>
      <c r="F13" s="78">
        <v>1401000</v>
      </c>
      <c r="G13" s="22">
        <f t="shared" si="0"/>
        <v>4914000</v>
      </c>
      <c r="H13" s="22">
        <f t="shared" si="1"/>
        <v>360507.66858141136</v>
      </c>
      <c r="I13" s="22">
        <f t="shared" si="3"/>
        <v>4553492.3314185888</v>
      </c>
    </row>
    <row r="14" spans="1:9" ht="15.75" customHeight="1" x14ac:dyDescent="0.25">
      <c r="A14" s="7">
        <f t="shared" si="2"/>
        <v>2029</v>
      </c>
      <c r="B14" s="77">
        <v>309722.04319999996</v>
      </c>
      <c r="C14" s="78">
        <v>940000</v>
      </c>
      <c r="D14" s="78">
        <v>1252000</v>
      </c>
      <c r="E14" s="78">
        <v>1342000</v>
      </c>
      <c r="F14" s="78">
        <v>1451000</v>
      </c>
      <c r="G14" s="22">
        <f t="shared" si="0"/>
        <v>4985000</v>
      </c>
      <c r="H14" s="22">
        <f t="shared" si="1"/>
        <v>358331.50327704794</v>
      </c>
      <c r="I14" s="22">
        <f t="shared" si="3"/>
        <v>4626668.4967229525</v>
      </c>
    </row>
    <row r="15" spans="1:9" ht="15.75" customHeight="1" x14ac:dyDescent="0.25">
      <c r="A15" s="7">
        <f t="shared" si="2"/>
        <v>2030</v>
      </c>
      <c r="B15" s="77">
        <v>307726.53999999998</v>
      </c>
      <c r="C15" s="78">
        <v>955000</v>
      </c>
      <c r="D15" s="78">
        <v>1324000</v>
      </c>
      <c r="E15" s="78">
        <v>1275000</v>
      </c>
      <c r="F15" s="78">
        <v>1493000</v>
      </c>
      <c r="G15" s="22">
        <f t="shared" si="0"/>
        <v>5047000</v>
      </c>
      <c r="H15" s="22">
        <f t="shared" si="1"/>
        <v>356022.81496393221</v>
      </c>
      <c r="I15" s="22">
        <f t="shared" si="3"/>
        <v>4690977.1850360679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127.2639975935535</v>
      </c>
      <c r="I17" s="22">
        <f t="shared" si="4"/>
        <v>-127.2639975935535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5.6836937499999997E-3</v>
      </c>
    </row>
    <row r="4" spans="1:8" ht="15.75" customHeight="1" x14ac:dyDescent="0.25">
      <c r="B4" s="24" t="s">
        <v>7</v>
      </c>
      <c r="C4" s="79">
        <v>0.10398224093562627</v>
      </c>
    </row>
    <row r="5" spans="1:8" ht="15.75" customHeight="1" x14ac:dyDescent="0.25">
      <c r="B5" s="24" t="s">
        <v>8</v>
      </c>
      <c r="C5" s="79">
        <v>9.246930510183575E-2</v>
      </c>
    </row>
    <row r="6" spans="1:8" ht="15.75" customHeight="1" x14ac:dyDescent="0.25">
      <c r="B6" s="24" t="s">
        <v>10</v>
      </c>
      <c r="C6" s="79">
        <v>8.4972126127932007E-2</v>
      </c>
    </row>
    <row r="7" spans="1:8" ht="15.75" customHeight="1" x14ac:dyDescent="0.25">
      <c r="B7" s="24" t="s">
        <v>13</v>
      </c>
      <c r="C7" s="79">
        <v>0.28338279243329151</v>
      </c>
    </row>
    <row r="8" spans="1:8" ht="15.75" customHeight="1" x14ac:dyDescent="0.25">
      <c r="B8" s="24" t="s">
        <v>14</v>
      </c>
      <c r="C8" s="79">
        <v>4.2780432503564465E-7</v>
      </c>
    </row>
    <row r="9" spans="1:8" ht="15.75" customHeight="1" x14ac:dyDescent="0.25">
      <c r="B9" s="24" t="s">
        <v>27</v>
      </c>
      <c r="C9" s="79">
        <v>0.20101468101000478</v>
      </c>
    </row>
    <row r="10" spans="1:8" ht="15.75" customHeight="1" x14ac:dyDescent="0.25">
      <c r="B10" s="24" t="s">
        <v>15</v>
      </c>
      <c r="C10" s="79">
        <v>0.22849473283698474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2.3881225815893702E-2</v>
      </c>
      <c r="D14" s="79">
        <v>2.3881225815893702E-2</v>
      </c>
      <c r="E14" s="79">
        <v>1.74966987496704E-2</v>
      </c>
      <c r="F14" s="79">
        <v>1.74966987496704E-2</v>
      </c>
    </row>
    <row r="15" spans="1:8" ht="15.75" customHeight="1" x14ac:dyDescent="0.25">
      <c r="B15" s="24" t="s">
        <v>16</v>
      </c>
      <c r="C15" s="79">
        <v>0.20685712818257301</v>
      </c>
      <c r="D15" s="79">
        <v>0.20685712818257301</v>
      </c>
      <c r="E15" s="79">
        <v>0.14986065136877399</v>
      </c>
      <c r="F15" s="79">
        <v>0.14986065136877399</v>
      </c>
    </row>
    <row r="16" spans="1:8" ht="15.75" customHeight="1" x14ac:dyDescent="0.25">
      <c r="B16" s="24" t="s">
        <v>17</v>
      </c>
      <c r="C16" s="79">
        <v>2.53483363439682E-2</v>
      </c>
      <c r="D16" s="79">
        <v>2.53483363439682E-2</v>
      </c>
      <c r="E16" s="79">
        <v>2.9502678186019399E-2</v>
      </c>
      <c r="F16" s="79">
        <v>2.9502678186019399E-2</v>
      </c>
    </row>
    <row r="17" spans="1:8" ht="15.75" customHeight="1" x14ac:dyDescent="0.25">
      <c r="B17" s="24" t="s">
        <v>18</v>
      </c>
      <c r="C17" s="79">
        <v>3.8947907931647499E-5</v>
      </c>
      <c r="D17" s="79">
        <v>3.8947907931647499E-5</v>
      </c>
      <c r="E17" s="79">
        <v>9.7038262924551802E-5</v>
      </c>
      <c r="F17" s="79">
        <v>9.7038262924551802E-5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4.9742974637905402E-4</v>
      </c>
      <c r="D19" s="79">
        <v>4.9742974637905402E-4</v>
      </c>
      <c r="E19" s="79">
        <v>2.1563356373333501E-4</v>
      </c>
      <c r="F19" s="79">
        <v>2.1563356373333501E-4</v>
      </c>
    </row>
    <row r="20" spans="1:8" ht="15.75" customHeight="1" x14ac:dyDescent="0.25">
      <c r="B20" s="24" t="s">
        <v>21</v>
      </c>
      <c r="C20" s="79">
        <v>6.0446093828685913E-3</v>
      </c>
      <c r="D20" s="79">
        <v>6.0446093828685913E-3</v>
      </c>
      <c r="E20" s="79">
        <v>2.7210508584342794E-3</v>
      </c>
      <c r="F20" s="79">
        <v>2.7210508584342794E-3</v>
      </c>
    </row>
    <row r="21" spans="1:8" ht="15.75" customHeight="1" x14ac:dyDescent="0.25">
      <c r="B21" s="24" t="s">
        <v>22</v>
      </c>
      <c r="C21" s="79">
        <v>0.123114367083761</v>
      </c>
      <c r="D21" s="79">
        <v>0.123114367083761</v>
      </c>
      <c r="E21" s="79">
        <v>0.36227852167979202</v>
      </c>
      <c r="F21" s="79">
        <v>0.36227852167979202</v>
      </c>
    </row>
    <row r="22" spans="1:8" ht="15.75" customHeight="1" x14ac:dyDescent="0.25">
      <c r="B22" s="24" t="s">
        <v>23</v>
      </c>
      <c r="C22" s="79">
        <v>0.61421795553662473</v>
      </c>
      <c r="D22" s="79">
        <v>0.61421795553662473</v>
      </c>
      <c r="E22" s="79">
        <v>0.43782772733065201</v>
      </c>
      <c r="F22" s="79">
        <v>0.43782772733065201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1.8700000000000001E-2</v>
      </c>
    </row>
    <row r="27" spans="1:8" ht="15.75" customHeight="1" x14ac:dyDescent="0.25">
      <c r="B27" s="24" t="s">
        <v>39</v>
      </c>
      <c r="C27" s="79">
        <v>2.5999999999999999E-3</v>
      </c>
    </row>
    <row r="28" spans="1:8" ht="15.75" customHeight="1" x14ac:dyDescent="0.25">
      <c r="B28" s="24" t="s">
        <v>40</v>
      </c>
      <c r="C28" s="79">
        <v>0.29299999999999998</v>
      </c>
    </row>
    <row r="29" spans="1:8" ht="15.75" customHeight="1" x14ac:dyDescent="0.25">
      <c r="B29" s="24" t="s">
        <v>41</v>
      </c>
      <c r="C29" s="79">
        <v>7.1199999999999999E-2</v>
      </c>
    </row>
    <row r="30" spans="1:8" ht="15.75" customHeight="1" x14ac:dyDescent="0.25">
      <c r="B30" s="24" t="s">
        <v>42</v>
      </c>
      <c r="C30" s="79">
        <v>0.18739999999999998</v>
      </c>
    </row>
    <row r="31" spans="1:8" ht="15.75" customHeight="1" x14ac:dyDescent="0.25">
      <c r="B31" s="24" t="s">
        <v>43</v>
      </c>
      <c r="C31" s="79">
        <v>5.5800000000000002E-2</v>
      </c>
    </row>
    <row r="32" spans="1:8" ht="15.75" customHeight="1" x14ac:dyDescent="0.25">
      <c r="B32" s="24" t="s">
        <v>44</v>
      </c>
      <c r="C32" s="79">
        <v>3.8800000000000001E-2</v>
      </c>
    </row>
    <row r="33" spans="2:3" ht="15.75" customHeight="1" x14ac:dyDescent="0.25">
      <c r="B33" s="24" t="s">
        <v>45</v>
      </c>
      <c r="C33" s="79">
        <v>1.5100000000000001E-2</v>
      </c>
    </row>
    <row r="34" spans="2:3" ht="15.75" customHeight="1" x14ac:dyDescent="0.25">
      <c r="B34" s="24" t="s">
        <v>46</v>
      </c>
      <c r="C34" s="79">
        <v>0.3173999999977648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0.88473145975354217</v>
      </c>
      <c r="D2" s="80">
        <v>0.88473145975354217</v>
      </c>
      <c r="E2" s="80">
        <v>0.83655100570170216</v>
      </c>
      <c r="F2" s="80">
        <v>0.74809430636243679</v>
      </c>
      <c r="G2" s="80">
        <v>0.69540928826799697</v>
      </c>
    </row>
    <row r="3" spans="1:15" ht="15.75" customHeight="1" x14ac:dyDescent="0.25">
      <c r="A3" s="5"/>
      <c r="B3" s="11" t="s">
        <v>118</v>
      </c>
      <c r="C3" s="80">
        <v>8.8677001150412632E-2</v>
      </c>
      <c r="D3" s="80">
        <v>8.8677001150412632E-2</v>
      </c>
      <c r="E3" s="80">
        <v>0.11675165734914532</v>
      </c>
      <c r="F3" s="80">
        <v>0.13224376770535978</v>
      </c>
      <c r="G3" s="80">
        <v>0.18492878579979974</v>
      </c>
    </row>
    <row r="4" spans="1:15" ht="15.75" customHeight="1" x14ac:dyDescent="0.25">
      <c r="A4" s="5"/>
      <c r="B4" s="11" t="s">
        <v>116</v>
      </c>
      <c r="C4" s="81">
        <v>0</v>
      </c>
      <c r="D4" s="81">
        <v>0</v>
      </c>
      <c r="E4" s="81">
        <v>2.0105797853107343E-2</v>
      </c>
      <c r="F4" s="81">
        <v>7.4261737231638411E-2</v>
      </c>
      <c r="G4" s="81">
        <v>7.4261737231638411E-2</v>
      </c>
    </row>
    <row r="5" spans="1:15" ht="15.75" customHeight="1" x14ac:dyDescent="0.25">
      <c r="A5" s="5"/>
      <c r="B5" s="11" t="s">
        <v>119</v>
      </c>
      <c r="C5" s="81">
        <v>2.6591539096045193E-2</v>
      </c>
      <c r="D5" s="81">
        <v>2.6591539096045193E-2</v>
      </c>
      <c r="E5" s="81">
        <v>2.6591539096045193E-2</v>
      </c>
      <c r="F5" s="81">
        <v>4.5400188700564968E-2</v>
      </c>
      <c r="G5" s="81">
        <v>4.5400188700564968E-2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0.73808664324200912</v>
      </c>
      <c r="D8" s="80">
        <v>0.73808664324200912</v>
      </c>
      <c r="E8" s="80">
        <v>0.91368799528879763</v>
      </c>
      <c r="F8" s="80">
        <v>0.93081899652868849</v>
      </c>
      <c r="G8" s="80">
        <v>0.92163697548811951</v>
      </c>
    </row>
    <row r="9" spans="1:15" ht="15.75" customHeight="1" x14ac:dyDescent="0.25">
      <c r="B9" s="7" t="s">
        <v>121</v>
      </c>
      <c r="C9" s="80">
        <v>0.13683067675799085</v>
      </c>
      <c r="D9" s="80">
        <v>0.13683067675799085</v>
      </c>
      <c r="E9" s="80">
        <v>5.6856130711202477E-2</v>
      </c>
      <c r="F9" s="80">
        <v>4.3944244471311476E-2</v>
      </c>
      <c r="G9" s="80">
        <v>5.9976375845213842E-2</v>
      </c>
    </row>
    <row r="10" spans="1:15" ht="15.75" customHeight="1" x14ac:dyDescent="0.25">
      <c r="B10" s="7" t="s">
        <v>122</v>
      </c>
      <c r="C10" s="81">
        <v>7.9836917999999993E-2</v>
      </c>
      <c r="D10" s="81">
        <v>7.9836917999999993E-2</v>
      </c>
      <c r="E10" s="81">
        <v>1.8883836000000001E-2</v>
      </c>
      <c r="F10" s="81">
        <v>1.7373338800000002E-2</v>
      </c>
      <c r="G10" s="81">
        <v>1.2253326700000003E-2</v>
      </c>
    </row>
    <row r="11" spans="1:15" ht="15.75" customHeight="1" x14ac:dyDescent="0.25">
      <c r="B11" s="7" t="s">
        <v>123</v>
      </c>
      <c r="C11" s="81">
        <v>4.5245762000000002E-2</v>
      </c>
      <c r="D11" s="81">
        <v>4.5245762000000002E-2</v>
      </c>
      <c r="E11" s="81">
        <v>1.0572037999999999E-2</v>
      </c>
      <c r="F11" s="81">
        <v>7.8634202000000004E-3</v>
      </c>
      <c r="G11" s="81">
        <v>6.1333219666666657E-3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0.43544833799999999</v>
      </c>
      <c r="D14" s="82">
        <v>0.414763389195</v>
      </c>
      <c r="E14" s="82">
        <v>0.414763389195</v>
      </c>
      <c r="F14" s="82">
        <v>0.239306340073</v>
      </c>
      <c r="G14" s="82">
        <v>0.239306340073</v>
      </c>
      <c r="H14" s="83">
        <v>0.30399999999999999</v>
      </c>
      <c r="I14" s="83">
        <v>0.30399999999999999</v>
      </c>
      <c r="J14" s="83">
        <v>0.30399999999999999</v>
      </c>
      <c r="K14" s="83">
        <v>0.30399999999999999</v>
      </c>
      <c r="L14" s="83">
        <v>0.26870858931500002</v>
      </c>
      <c r="M14" s="83">
        <v>0.28400437855749999</v>
      </c>
      <c r="N14" s="83">
        <v>0.26611944089149997</v>
      </c>
      <c r="O14" s="83">
        <v>0.28143512324550002</v>
      </c>
    </row>
    <row r="15" spans="1:15" ht="15.75" customHeight="1" x14ac:dyDescent="0.25">
      <c r="B15" s="16" t="s">
        <v>68</v>
      </c>
      <c r="C15" s="80">
        <f>iron_deficiency_anaemia*C14</f>
        <v>0.23347585094500167</v>
      </c>
      <c r="D15" s="80">
        <f t="shared" ref="D15:O15" si="0">iron_deficiency_anaemia*D14</f>
        <v>0.22238512995113449</v>
      </c>
      <c r="E15" s="80">
        <f t="shared" si="0"/>
        <v>0.22238512995113449</v>
      </c>
      <c r="F15" s="80">
        <f t="shared" si="0"/>
        <v>0.12830971325254575</v>
      </c>
      <c r="G15" s="80">
        <f t="shared" si="0"/>
        <v>0.12830971325254575</v>
      </c>
      <c r="H15" s="80">
        <f t="shared" si="0"/>
        <v>0.16299673805915527</v>
      </c>
      <c r="I15" s="80">
        <f t="shared" si="0"/>
        <v>0.16299673805915527</v>
      </c>
      <c r="J15" s="80">
        <f t="shared" si="0"/>
        <v>0.16299673805915527</v>
      </c>
      <c r="K15" s="80">
        <f t="shared" si="0"/>
        <v>0.16299673805915527</v>
      </c>
      <c r="L15" s="80">
        <f t="shared" si="0"/>
        <v>0.14407441956191508</v>
      </c>
      <c r="M15" s="80">
        <f t="shared" si="0"/>
        <v>0.15227561611641446</v>
      </c>
      <c r="N15" s="80">
        <f t="shared" si="0"/>
        <v>0.14268618684026538</v>
      </c>
      <c r="O15" s="80">
        <f t="shared" si="0"/>
        <v>0.1508980495535949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0.35799999999999998</v>
      </c>
      <c r="D2" s="81">
        <v>0.35799999999999998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0.24100000000000002</v>
      </c>
      <c r="D3" s="81">
        <v>0.36200000000000004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0.13300000000000001</v>
      </c>
      <c r="D4" s="81">
        <v>0.13300000000000001</v>
      </c>
      <c r="E4" s="81">
        <v>0.49099999999999994</v>
      </c>
      <c r="F4" s="81">
        <v>0.6895</v>
      </c>
      <c r="G4" s="81">
        <v>0</v>
      </c>
    </row>
    <row r="5" spans="1:7" x14ac:dyDescent="0.25">
      <c r="B5" s="43" t="s">
        <v>169</v>
      </c>
      <c r="C5" s="80">
        <f>1-SUM(C2:C4)</f>
        <v>0.26800000000000002</v>
      </c>
      <c r="D5" s="80">
        <f>1-SUM(D2:D4)</f>
        <v>0.14700000000000002</v>
      </c>
      <c r="E5" s="80">
        <f>1-SUM(E2:E4)</f>
        <v>0.50900000000000012</v>
      </c>
      <c r="F5" s="80">
        <f>1-SUM(F2:F4)</f>
        <v>0.3105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0.10693</v>
      </c>
      <c r="D2" s="144">
        <v>0.10317</v>
      </c>
      <c r="E2" s="144">
        <v>9.9540000000000003E-2</v>
      </c>
      <c r="F2" s="144">
        <v>9.6079999999999999E-2</v>
      </c>
      <c r="G2" s="144">
        <v>9.2759999999999995E-2</v>
      </c>
      <c r="H2" s="144">
        <v>8.9520000000000002E-2</v>
      </c>
      <c r="I2" s="144">
        <v>8.6400000000000005E-2</v>
      </c>
      <c r="J2" s="144">
        <v>8.3460000000000006E-2</v>
      </c>
      <c r="K2" s="144">
        <v>8.0619999999999997E-2</v>
      </c>
      <c r="L2" s="144">
        <v>7.7969999999999998E-2</v>
      </c>
      <c r="M2" s="144">
        <v>7.553E-2</v>
      </c>
      <c r="N2" s="144">
        <v>7.3249999999999996E-2</v>
      </c>
      <c r="O2" s="144">
        <v>7.1050000000000002E-2</v>
      </c>
      <c r="P2" s="144">
        <v>6.8909999999999999E-2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2.4900000000000002E-2</v>
      </c>
      <c r="D4" s="144">
        <v>2.427E-2</v>
      </c>
      <c r="E4" s="144">
        <v>2.366E-2</v>
      </c>
      <c r="F4" s="144">
        <v>2.3090000000000003E-2</v>
      </c>
      <c r="G4" s="144">
        <v>2.2540000000000001E-2</v>
      </c>
      <c r="H4" s="144">
        <v>2.198E-2</v>
      </c>
      <c r="I4" s="144">
        <v>2.1440000000000001E-2</v>
      </c>
      <c r="J4" s="144">
        <v>2.0950000000000003E-2</v>
      </c>
      <c r="K4" s="144">
        <v>2.0480000000000002E-2</v>
      </c>
      <c r="L4" s="144">
        <v>2.0059999999999998E-2</v>
      </c>
      <c r="M4" s="144">
        <v>1.9689999999999999E-2</v>
      </c>
      <c r="N4" s="144">
        <v>1.9359999999999999E-2</v>
      </c>
      <c r="O4" s="144">
        <v>1.9030000000000002E-2</v>
      </c>
      <c r="P4" s="144">
        <v>1.8689999999999998E-2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0.14730964194216126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0.16299673805915527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0.14797058922606635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0.35800000000000004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0.62333333333333329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14.124000000000001</v>
      </c>
      <c r="D13" s="143">
        <v>13.656000000000001</v>
      </c>
      <c r="E13" s="143">
        <v>13.215999999999999</v>
      </c>
      <c r="F13" s="143">
        <v>12.807</v>
      </c>
      <c r="G13" s="143">
        <v>12.425000000000001</v>
      </c>
      <c r="H13" s="143">
        <v>12.065</v>
      </c>
      <c r="I13" s="143">
        <v>11.728999999999999</v>
      </c>
      <c r="J13" s="143">
        <v>11.409000000000001</v>
      </c>
      <c r="K13" s="143">
        <v>11.103999999999999</v>
      </c>
      <c r="L13" s="143">
        <v>10.814</v>
      </c>
      <c r="M13" s="143">
        <v>10.529</v>
      </c>
      <c r="N13" s="143">
        <v>10.24</v>
      </c>
      <c r="O13" s="143">
        <v>9.9489999999999998</v>
      </c>
      <c r="P13" s="143">
        <v>9.6359999999999992</v>
      </c>
    </row>
    <row r="14" spans="1:16" x14ac:dyDescent="0.25">
      <c r="B14" s="16" t="s">
        <v>170</v>
      </c>
      <c r="C14" s="143">
        <f>maternal_mortality</f>
        <v>0.12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2.5000000000000001E-2</v>
      </c>
      <c r="E2" s="92">
        <f>food_insecure</f>
        <v>2.5000000000000001E-2</v>
      </c>
      <c r="F2" s="92">
        <f>food_insecure</f>
        <v>2.5000000000000001E-2</v>
      </c>
      <c r="G2" s="92">
        <f>food_insecure</f>
        <v>2.5000000000000001E-2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2.5000000000000001E-2</v>
      </c>
      <c r="F5" s="92">
        <f>food_insecure</f>
        <v>2.5000000000000001E-2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4.5804215947884613E-2</v>
      </c>
      <c r="D7" s="92">
        <f>diarrhoea_1_5mo/26</f>
        <v>3.9724924586538077E-2</v>
      </c>
      <c r="E7" s="92">
        <f>diarrhoea_6_11mo/26</f>
        <v>3.9724924586538077E-2</v>
      </c>
      <c r="F7" s="92">
        <f>diarrhoea_12_23mo/26</f>
        <v>3.1513893898653847E-2</v>
      </c>
      <c r="G7" s="92">
        <f>diarrhoea_24_59mo/26</f>
        <v>3.1513893898653847E-2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2.5000000000000001E-2</v>
      </c>
      <c r="F8" s="92">
        <f>food_insecure</f>
        <v>2.5000000000000001E-2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0.81200000000000006</v>
      </c>
      <c r="E9" s="92">
        <f>IF(ISBLANK(comm_deliv), frac_children_health_facility,1)</f>
        <v>0.81200000000000006</v>
      </c>
      <c r="F9" s="92">
        <f>IF(ISBLANK(comm_deliv), frac_children_health_facility,1)</f>
        <v>0.81200000000000006</v>
      </c>
      <c r="G9" s="92">
        <f>IF(ISBLANK(comm_deliv), frac_children_health_facility,1)</f>
        <v>0.81200000000000006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4.5804215947884613E-2</v>
      </c>
      <c r="D11" s="92">
        <f>diarrhoea_1_5mo/26</f>
        <v>3.9724924586538077E-2</v>
      </c>
      <c r="E11" s="92">
        <f>diarrhoea_6_11mo/26</f>
        <v>3.9724924586538077E-2</v>
      </c>
      <c r="F11" s="92">
        <f>diarrhoea_12_23mo/26</f>
        <v>3.1513893898653847E-2</v>
      </c>
      <c r="G11" s="92">
        <f>diarrhoea_24_59mo/26</f>
        <v>3.1513893898653847E-2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2.5000000000000001E-2</v>
      </c>
      <c r="I14" s="92">
        <f>food_insecure</f>
        <v>2.5000000000000001E-2</v>
      </c>
      <c r="J14" s="92">
        <f>food_insecure</f>
        <v>2.5000000000000001E-2</v>
      </c>
      <c r="K14" s="92">
        <f>food_insecure</f>
        <v>2.5000000000000001E-2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0.95299999999999996</v>
      </c>
      <c r="I17" s="92">
        <f>frac_PW_health_facility</f>
        <v>0.95299999999999996</v>
      </c>
      <c r="J17" s="92">
        <f>frac_PW_health_facility</f>
        <v>0.95299999999999996</v>
      </c>
      <c r="K17" s="92">
        <f>frac_PW_health_facility</f>
        <v>0.95299999999999996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0.20399999999999999</v>
      </c>
      <c r="M23" s="92">
        <f>famplan_unmet_need</f>
        <v>0.20399999999999999</v>
      </c>
      <c r="N23" s="92">
        <f>famplan_unmet_need</f>
        <v>0.20399999999999999</v>
      </c>
      <c r="O23" s="92">
        <f>famplan_unmet_need</f>
        <v>0.20399999999999999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</v>
      </c>
      <c r="M24" s="92">
        <f>(1-food_insecure)*(0.49)+food_insecure*(0.7)</f>
        <v>0.49525000000000002</v>
      </c>
      <c r="N24" s="92">
        <f>(1-food_insecure)*(0.49)+food_insecure*(0.7)</f>
        <v>0.49525000000000002</v>
      </c>
      <c r="O24" s="92">
        <f>(1-food_insecure)*(0.49)+food_insecure*(0.7)</f>
        <v>0.49525000000000002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</v>
      </c>
      <c r="M25" s="92">
        <f>(1-food_insecure)*(0.21)+food_insecure*(0.3)</f>
        <v>0.21224999999999999</v>
      </c>
      <c r="N25" s="92">
        <f>(1-food_insecure)*(0.21)+food_insecure*(0.3)</f>
        <v>0.21224999999999999</v>
      </c>
      <c r="O25" s="92">
        <f>(1-food_insecure)*(0.21)+food_insecure*(0.3)</f>
        <v>0.21224999999999999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</v>
      </c>
      <c r="M26" s="92">
        <f>(1-food_insecure)*(0.3)</f>
        <v>0.29249999999999998</v>
      </c>
      <c r="N26" s="92">
        <f>(1-food_insecure)*(0.3)</f>
        <v>0.29249999999999998</v>
      </c>
      <c r="O26" s="92">
        <f>(1-food_insecure)*(0.3)</f>
        <v>0.29249999999999998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1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2020-03-24T06:49:32Z</dcterms:modified>
</cp:coreProperties>
</file>