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F37407BA-2902-4A2E-AD91-572BEC109E3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I21" i="2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C7" i="51" s="1"/>
  <c r="I15" i="5"/>
  <c r="H15" i="5"/>
  <c r="G15" i="5"/>
  <c r="F15" i="5"/>
  <c r="E15" i="5"/>
  <c r="D15" i="5"/>
  <c r="C6" i="51" s="1"/>
  <c r="G5" i="50"/>
  <c r="F5" i="50"/>
  <c r="E5" i="50"/>
  <c r="D5" i="50"/>
  <c r="C5" i="50"/>
  <c r="C48" i="1"/>
  <c r="H3" i="2"/>
  <c r="H4" i="2"/>
  <c r="G4" i="2"/>
  <c r="H5" i="2"/>
  <c r="I5" i="2" s="1"/>
  <c r="H6" i="2"/>
  <c r="H7" i="2"/>
  <c r="H8" i="2"/>
  <c r="H9" i="2"/>
  <c r="H10" i="2"/>
  <c r="H11" i="2"/>
  <c r="H12" i="2"/>
  <c r="I12" i="2" s="1"/>
  <c r="H13" i="2"/>
  <c r="I13" i="2" s="1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I14" i="2" s="1"/>
  <c r="G15" i="2"/>
  <c r="G2" i="2"/>
  <c r="I24" i="2"/>
  <c r="I18" i="2"/>
  <c r="I20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I15" i="2"/>
  <c r="I11" i="2"/>
  <c r="I10" i="2"/>
  <c r="I9" i="2"/>
  <c r="I8" i="2"/>
  <c r="I7" i="2"/>
  <c r="I6" i="2"/>
  <c r="I4" i="2"/>
  <c r="I3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D5453D72-4D55-455C-8AF0-D5CD6425CA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7523D3E-4810-4234-ACE7-F4A361ECEC3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21AC8C71-100E-4198-B9EB-6DFED9D75067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AD9CD59F-21DD-4689-897A-E021843C7916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4566036C-75A3-4F66-B3E7-ACEBCCE5765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FC868D0C-0F53-4E0C-8C59-D9806BCB9F6F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FACC50B9-92BD-4CF3-B9A2-53CCCDEF7336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D4D46054-2507-4ACD-9A19-C1771E7F079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8B4C8F5E-F481-422F-902D-9B40473E5F9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864AEFD-883B-49E7-A02E-DB7EF7FD4350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34A35610-303F-44F5-B9B6-FAA091EA8FCF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3ACB27F-C8A0-4A93-870A-586AAAB5046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E81092DC-BE68-49D3-808C-ACDAFB77F55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BD88C30C-FC2A-4199-A09F-AEA1EF2EA26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E54F8F1E-2375-40B9-90B6-FEEB244A24D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8EF7EAE6-1EE7-421D-8321-F1ED12C6C76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27A39BA0-5614-47EA-997F-2F6213A023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0D46765E-3499-4DF3-9AB8-120DD8927EE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0D3E3AF-106F-495D-8820-952BF62CA29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8720856A-0400-4CFA-B369-730C49D108EC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5D28B0B-FBFA-4C33-BD4A-2E17A974BA78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CB08631-89D0-45F6-85F9-C1E4D114FDF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C4AF0036-70CB-4DD6-9D86-B2F3E6D2BAD0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8E6DBF53-6C1C-4022-A304-EAF81F7A7C5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23A65BF0-1BD6-4EE3-BC26-D3C9725FC9FE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5F4349B-6CC1-4D7C-883B-E1FACF6EB438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9CAD581E-26E6-4E02-BED6-73CBEDCC07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3454EBC7-A171-4067-8B58-6E7EAE2AE65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9EC38195-4637-475C-A141-DB5218233B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35F5FC3D-0323-486C-AF67-FFC7949C956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C85A3CBA-292D-4D63-9349-21E13FAB84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7603822F-CCC5-45A8-B8BE-0BFC8D18A80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0B2CF996-97F0-4A79-B37C-125ACFFC1E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E57FC7DF-EACA-4818-A7BF-B2E9AEBAE25D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1DA95B8-6BA4-460C-B160-033D9518D16A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6F32E9DA-F8EB-491A-BD8D-CC25C7BAD6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F2916857-EB1E-4055-B498-C122DABDCA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218A17CC-8BF3-433F-BB73-FB75B4B40DE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98EB8056-28CA-43C2-95DE-886BC35F93F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13670F09-0C5D-4A49-B6B6-6E0E0035EA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2E369F42-748B-4171-A22D-397BE3C82F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BCCE8696-074F-491D-B47C-CF0149E77E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BA01F2F2-C3B4-4BC5-A19A-E53FA57850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1F952CEC-AAD3-4711-BA8B-22F1F0B1CB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CEC14F4D-1340-4625-A127-0A145F7193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738C6156-BDDE-4E11-B526-880ABB67AA8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BF1E9DB6-C163-4693-8DB6-F22965515C6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F4A3967-0C6D-4750-962C-3247F749D15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F6625BC7-099D-42A4-953B-235E3E9315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2C90F71C-89BB-4655-B185-D83AA47666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1608410-2E80-4B04-BCA9-D05CD293AE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F7EA72CA-ED1B-434B-91F3-AC3B28ED4E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6D94CD16-2E49-4E41-AD3F-5309DC1B0CD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3864177E-4AE8-4DFB-BC95-3F5899C3312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A494A49C-57BB-40CE-BFC5-0085C1B643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7C8DFF10-5012-41C9-BA03-0E9353881F9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633EB88-A449-4A32-B8B7-A779B5C553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18AD5ED3-FC75-4445-BF9B-5F660DF3D76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4BC5D55E-C3D0-492C-8BAB-4B6250990B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3A1378D8-4179-423B-B262-ADCABD9E23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DB011D28-D106-48E3-8BB2-6A7D7C95C84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8B7EF0B1-B89E-4FC6-87AB-64802CDBBC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AA4A14E-3611-4577-846A-FFDD530C57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0414E29-E88A-481B-985E-026F8ECDB7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090BF34-3805-4E3F-B437-A16FFF21CEA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CEC70966-9378-4293-A02B-CAAAB95585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AD7CEA52-7EE0-46B1-AEC4-9E8B44A76A0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74AE697-5B43-41F7-B818-9815C596FA6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23E14CD6-2190-4C86-BF17-867905A5E8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4E8EBDE1-ABB9-4B2A-B85F-A8970CB101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136EF10B-6188-421B-B1C7-42706854E67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B0628352-A7EC-4F82-A50F-552AA9F380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A202E1A-0C80-471A-A1D9-2CE0382784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061B13F-0619-43C4-B6CC-561FEAB5256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A25BA649-B6FC-4732-B8F4-3532FFC305F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2D88D48D-8975-4BD4-8576-CAB059ED595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7E6E47AF-ECDA-489E-B6D9-0D44F7F654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2192A63C-8AF7-483D-A765-EB8C518FC4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A679C431-CABD-457C-86AC-0BC00C3CF7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67C422F6-7638-401B-ACB3-88A730903A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6FE3F99-5157-4553-B49F-9B807585F9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4C7670E-D318-4583-9162-AC4DF83481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F8AE18C0-D221-491E-B4F4-C24DB14D21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330D875D-A027-4186-AF09-0965861010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1B87764-5437-46EA-8C6F-9981E93949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D0D56D30-E5F7-43D4-8A50-0890F1CE0A3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C40D91C4-AF3E-43AA-B8F2-A5A63DFE317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EEA45059-FBC6-4B61-AA91-6CD3BEE0E0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BE45CB7E-2FE3-4965-B795-EED350B9E9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494411D6-59A9-48C5-B60D-90388010307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5114B28F-3F76-4635-A2F0-B75C8038E0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5C782609-74A5-43FC-B081-9ED8F66C6D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77D7D115-AA03-4D35-A21F-D1604A540D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82B146C0-B966-402F-941B-706D3AD632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0E985F1E-6363-4EF2-AA11-3819A7938F2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B61D332C-A86C-45E0-8357-F5ED04458F1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13BC6C23-C6BA-4713-BED6-5AC3FD8EB28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6FB7BE6A-65BD-4B82-9E24-E0139C6B774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D6C1ACC6-C35A-4A4F-A2C9-486172A4CFB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5F183B3B-71DE-4F01-A1CD-90767E1E32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C6414DDB-AE79-478D-B927-D3E8706734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AF8296DC-2342-4A19-90C2-649B18982E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BF00D4D2-1501-414E-980C-4CFC2F65AF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13485AE6-720A-467B-8CEB-10C679B2F4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133D7EFB-9025-41D2-9039-E35FE6C3E9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B8BAA095-E06D-4011-8467-55C4DFFAD23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2A2041C1-9C96-40B0-9DFD-DCAC4FD7E9B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EED888B4-08EF-4B2F-BB7A-4215FE0059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0DD8710C-B1C6-4CC2-B015-CB5D3A6736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12C8A3D5-A827-4914-8627-2F406E433B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6E172C26-ECF1-4B2B-91BC-546D2F6648D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7D7116D2-3C6E-4B20-8A9C-41DB90616B6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2CBD3471-41BC-4B52-A46D-DFBA1CD28D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CFBB15FE-0C17-4EAC-83FB-30CB82EA7FD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71A731A3-7D3B-41C5-AC8E-AEBB8BB1017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69962236-3A97-4536-A6D8-D4612B03FB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3F5A86EA-90C9-4C1F-B0B4-64DBDA62D6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5E34BF9-AA06-42B5-9840-C545BD70316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45E4C8F7-10EF-4241-B5B9-12F0D98DC11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9E90FF88-FF66-4E31-85F3-58EE9398E73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00341E47-9FBA-4B98-B5C7-BE76BDB48C4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746057C4-15D0-4100-8A8A-2DA8BCB3A0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C98EBE34-779D-4733-9B38-D2D1FE5231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28F9FEE-2FCB-4347-A5A9-A25C71C935F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91AB670A-D66C-4968-8C05-FECC9413DC9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E0BCBCA9-3C01-4E82-9096-40DEE67A16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51C0F613-2794-4639-BACE-3895426A4A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D6B5C9C6-7449-4565-AB50-936097A0433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2F1B0012-076C-4802-8F4B-4A75ACEDF37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44C25E39-0D04-4CAA-87ED-686838F48E2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E2FC305A-2A05-4DFD-9016-023656733D1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79FD96D-F670-4BB2-A25C-F72574C413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A05FDE0E-06B7-45C9-83C7-15D24E443E0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A72F0317-B2DD-42CB-B418-C1973C2CC60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E1644452-C156-4BE1-8DB0-FFAAB39950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B08AEF45-6AEF-4C2D-A2F7-53C15813F59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E548E818-BEB3-454C-93C4-2D6B6D6C9A6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E4D56F72-30AD-4C02-AC14-128271B9930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86FE78F-5EAC-47B8-B66D-7D2585304F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2E32D6EC-6C3E-4E5A-AD2E-DFBBC39979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A42A05C-0ACC-4C75-AF7F-71A40CCD42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309A75A3-E195-4E28-9F2F-DDC77728E12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59F9F2A9-13B1-4BC5-9EC7-13EF2AFF3A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37755D5D-118E-4ECB-998C-0844007D391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AE411F6C-153D-44AC-B853-F21399A2BEB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AAE80AD-21AA-4A9A-8A62-AE5715FBD57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3E452991-B719-4D17-BCFB-52DC0CE285F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58AD2310-94B3-4DCB-9863-1F799C3A80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6D484031-10DF-41FD-9645-A29874AAEA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AF21AD60-F471-49ED-BD1F-D86F8901F6F9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695B91FA-8B43-405C-82DB-59146993DC00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0968EA42-58BF-4647-9064-92DF4BE4D96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0442DD6-6C06-4D11-95F6-3EAED20A03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1AA7AA5-6507-461D-B6C7-25A7449435F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3211B88-664E-4DAD-AA88-14CD4B123B0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03EFBFB0-366E-456F-BAA7-1DEF6F8684E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4D8DF46E-FDEC-4BED-928C-82F325F2AE8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D5777F51-B3ED-4430-A914-0D871F087924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DC69DF9D-3157-45E0-B9FB-28756DFB7D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56D073F1-C27B-4A7E-9BBF-147C482B70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C2C784A9-8751-42E7-80FC-C16965C7E36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8E47F366-8F01-4413-85C6-1C64120EA36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27BAA7B0-7502-47FB-A0AD-4287F1FC639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403DCE5F-3110-4145-8017-D190EE79255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F4CD3C1B-23DA-4935-80DF-7749309A818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BCB56880-A868-472E-A412-97AB520D1C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14DD5F1C-8F53-40D6-A3F1-F8D9715644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E832EB5-851C-435E-8EDD-E4848AA1F3D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4524A1A7-E9CC-4181-9F2B-7A06C065647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BCAAE9CF-7139-4EA2-B6E4-E6073414C7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AF2FC018-5EB0-43E5-AE08-34A4832CBBB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F14FF60C-6941-4638-A975-57F7B05F02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ED75056A-3BE5-4DDA-A142-32CE754FF4C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1F8ECE80-5227-4499-BA75-2C94D3AC0D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97F14975-BD76-4D0D-AC97-7C7C7C2FCFC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5AF5ADA9-3190-4281-B011-1CD2248C365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334C5B73-1137-47A3-89E9-33EB0077CFA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62EA1D97-39DF-4EDB-835D-148E2333E6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FA84FF9B-BF08-4651-8A0F-C1244DFE97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5DF77647-617F-400C-BC0C-0857669FBB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3ABF47AC-5D48-4356-A771-6F09550AE5B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B7079F9A-5606-48B1-8EBB-9F239AEF63A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EC107D33-5600-4FBB-9E27-09DFA78E163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B7E21ACA-816A-40FF-9DBC-C3A85CF6B31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27197F91-6B4B-4959-B71F-9B40832EC9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1C03E335-6BEB-4B44-AFB8-38E33039350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04751EAF-0619-47CF-994C-90E795229C4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514D6296-0E2B-4833-8FF0-6402374CC26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099ABEF1-8A63-423B-A821-17B2E702B9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A2E2BCD4-B078-44B6-9F57-E8E99770271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407144BC-A492-4F2C-BC3C-1724FF3C8A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00E9853B-F18B-48BF-B27A-C5D3B40306B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FC273F17-2DBE-4D1A-8144-63B54BE0F27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DFBBA916-850B-4EEA-AB48-0DDE131F4CB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E3EFE924-93F3-40EE-B3CA-C37D7EDFD2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5DE09A02-F12F-4EA2-8401-3188AE4FCAE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12432D6D-840C-40EA-B3DF-6946DE8894D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84E85BAB-6188-4955-9227-623B8854F89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27A52583-B599-417C-A316-4EF251EB83C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4FB4C4B-4492-413D-BBD5-965BF494D66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E44B8CD6-DE0C-4BBF-A780-CD4EEA04905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2C68B165-2560-44E6-852B-EB0BA536BE6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C9505FEA-4D69-4D75-8DD0-D67CA91F086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73408A9-E026-43C7-A359-41A6FAB1FEB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F9CD90F5-5C9B-4B92-B5CA-3C40F9983EF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D8904509-8373-488A-B3FD-EC2E9C050110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D3B7ED50-1AEF-47DA-8E54-4C29EC140AFE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09AC313D-6FDA-413F-956F-4CD4CB737D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5512A740-9DDF-48A8-9B51-4FACFF683E2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9A43723-E79E-4566-9269-9F9CB6B2522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FF6DED3-D8CA-47CA-838C-AC53EFA5DA5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676EA6ED-348D-4160-81A9-3338ACCD578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B50E8A4B-B1A8-4ED5-B56E-A93364AACCE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714BBFE1-5585-473E-9BC8-A6C3A48B6AE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B9AF7094-94DD-4118-A81E-E8B8505C7122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6C78D435-7ED9-44CF-96DA-410C3AF3A8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7AD30592-1AFF-4AA3-9841-28FFB16B438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C48F7B6C-FF9B-4F1B-9490-4E0AFA429FC8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1CA7EE99-BB7D-4F99-8D78-98F947FC845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4F5BD04-6928-457F-ACD4-A7447F0194D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D177053B-0D5D-421E-9753-98DF6D1D15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795DE977-D8F5-4391-A7B2-7CCFA28756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4BCCF701-8ED7-4DD9-8643-2095087558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381B331-E404-4296-B8C3-22E12821C6A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ABC5DF7F-959D-4FD7-BD0C-DA3FAB9643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9A56CE63-D512-43A2-8F8C-6E6EDD79C6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FA57CBD5-16BA-4297-9172-9176D062B8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DCE132E-A823-426A-AAB9-D202C9B96C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425F923F-915F-425B-876F-0FADDF52D4A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0FF1B62-8450-43A8-ADA6-FC116DBED4F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BEB28084-CC19-447F-8E73-0DA274F4D13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C9F1F045-0DB6-442C-96D0-6EE0E4EB4E5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F8FD53E6-BE67-4A68-8255-7555CE4449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E289C99-238D-49AC-8D83-BB8FB5C215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6A930D8-3B83-49DF-999D-1DBD934094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01D328FC-B7A3-421D-9908-53225D7A20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E7B707A3-8467-4101-8DB2-DAB62B7905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E4DEF033-BFE8-4464-B321-5C03E766DC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4488C84D-F98C-4C29-8C45-15EF80671E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0E32155-9255-45CA-8ABA-AB8F1148E2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D0F020AB-E86E-46E6-809C-1EE40B6F89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DCAB9E16-D2F5-4623-9BB3-E2B7F532311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1C16BA18-7E5C-4F25-B48D-64DC64B971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BF121C43-1A58-4237-8627-6AD03CF17B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73132F1F-91BE-467C-8F3F-E4D7369594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15F958FC-08F4-4E13-A509-100BBD2BFD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CBF827AB-BFAF-41B1-80D3-7EBDE13333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1EC614B-213E-43AB-ABE6-0B519FE1D0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2C20CBB4-64B4-485D-B270-5A30404AFFA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FFF0385A-C4F8-40EC-8964-1FA2EACA7D5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7B7FC45A-4FFA-4FF2-800F-BBE5B2AB9C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66B8720C-5D7E-486F-BDCE-10C567B94EC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B6D6839F-17A3-4DBA-B8EB-9482AB2FA8F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AD541F01-4923-4FDC-BCF5-39D782854DC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313F4A99-6240-4837-BA3C-3FB819673CE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CBAA5024-E02E-4B5B-A8C7-D41E41B17B2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ED83B486-34BD-4E97-B8C4-1D0F2905D3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837A3B5-D408-48D3-AEC0-7DBED4E067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74C51888-3E8F-420D-894F-AF088AB9EC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CDC5BA2B-6575-45D4-99B6-2EEC831ECD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66CE252E-6F0C-45D4-9D93-A22AF7D0039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C5431DE-1AFE-49C6-AC8D-D04EBDE88A1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8AC2707-C6A8-4C31-AEBC-34E127968B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F0396A40-21E2-45A1-8402-8BBAD9AC4305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9C33C7F5-A0D1-441C-8C95-1A23AB48BE4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4900E1E3-7FAB-4062-A3F3-801DED5774FE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536F9206-5579-45B9-842F-A8262FC974A2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5A76F5DE-135F-4CBE-B53C-A4B5C57F28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1B0802F-E3B2-4B4B-A384-EE0D8D97E8E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D201FF06-B542-4353-A343-E4C3F51F8F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BE5A8DC9-4CD5-4ADA-87C2-D808D5466BD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354151C5-6A6B-494D-B0B1-EFD41761906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E7ACDF6F-9400-4E12-A885-808835838F1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C60438B3-AD8E-404A-AF00-B9E7E36C3F5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E083A92E-D4B8-440E-A506-2C97C9C2325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F6DB0DA-2270-459E-8AFD-957397F5A62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5D2CBBC-47D9-46E4-BB42-C439449E182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6E98504B-E8B4-4192-844F-47F20213735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D744DBCA-59B5-45EC-A53C-D636D42BA06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A9F8E19B-C0E1-414C-BFA3-4CDF1390219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F9818A3-5040-4130-A56B-0820CEA3F412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C92B497-D8A6-4144-BF53-95E2C21BD7C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FD4D5FB3-CB46-4D75-A5D4-8DE45D900B0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26FFD959-A764-4692-9753-327CD253703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B1D9DCC2-A1BD-4126-B632-3FB96321A21F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08A36E63-138E-477D-8291-CB2C803743C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D0F2881E-5EC6-4017-A634-4C756233467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5E1A8568-D501-443D-AC6B-49F26213994B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1AFB237-1B61-4607-B516-7C2C5C5733AC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9CA53524-097A-40E8-960E-D18536D10758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F2EAAC95-02A8-4E26-BAAE-698B381ACA1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EDF7F4AA-5BE1-443C-8733-1ECF0F1CE6D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D4D9323-C0B5-435E-87C2-13B7BE06B10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1CDECE68-30CF-479D-A3C9-C941B715B86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63BEA22F-F50C-4321-AFDF-81C4250E0223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5F9119D3-0CD4-4CCB-9F3D-CDBA951299C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7CF3B29F-8EEC-4F60-BE73-231FCC96FF82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6EBCF765-5F4B-4BC4-992D-F1514C5B5594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FA454C6E-E5A0-4107-88A4-2308F251407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43088695-3840-49E6-93F1-5FCDEACFBA96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10C369E0-0AD3-4215-9E13-9A0F2DBB988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5D9924B-403A-4D30-BB11-C215E2E5D49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302B9E6A-C2BF-4737-90B9-6BD1302465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D048326D-FF5E-4F11-A25E-9014EFBC9AF8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E8CEF348-6A84-436F-9398-C50D775ED79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B33555B-A25B-4B3A-8991-3C152F963A5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E4B1FDB4-206D-427A-9257-B0503CDA528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8" authorId="0" shapeId="0" xr:uid="{2558A8C3-E1DA-414E-BE50-BE531C1275E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2B2B51F-F043-4ED8-AB74-1F95BC57758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B3E114A2-38BF-41F2-9311-4DFA9472E45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851BF0F1-6267-403E-9F96-C4911987F8BA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C038C4E0-CF20-4268-BD80-845F276B0E4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2893F3B7-5C8B-4CF9-85B1-944FCC0A571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4D25BC68-CF97-432E-A6B8-9F703495DC2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DF925D42-AD95-4C75-AFA7-6B41EEE926D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6FBDCA6-8EB8-496A-914C-F9C72A0511A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E6170C37-5BBD-4233-879A-F6008E902DD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64EB331C-6934-4AA0-B063-7D29BD330EF9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A2E36A45-6B5F-4E52-B534-D1DCB41F22D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4F2E5C5-15A8-4B7D-8D1C-15B2D3EB1C6E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F825C84E-4135-4DAF-80AD-D31B06E8525B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123BC792-0CF0-408C-B2EA-BCDB3798068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B718902-BB6B-4FBA-8943-EA19F84326DA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<sst xmlns="http://schemas.openxmlformats.org/spreadsheetml/2006/main" count="1102" uniqueCount="271">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</sst>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288675</v>
      </c>
    </row>
    <row r="8" spans="1:3" ht="15" customHeight="1" x14ac:dyDescent="0.25">
      <c r="B8" s="7" t="s">
        <v>106</v>
      </c>
      <c r="C8" s="70">
        <v>0.49700000000000005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0.447736206054688</v>
      </c>
    </row>
    <row r="11" spans="1:3" ht="15" customHeight="1" x14ac:dyDescent="0.25">
      <c r="B11" s="7" t="s">
        <v>108</v>
      </c>
      <c r="C11" s="70">
        <v>0.74400000000000011</v>
      </c>
    </row>
    <row r="12" spans="1:3" ht="15" customHeight="1" x14ac:dyDescent="0.25">
      <c r="B12" s="7" t="s">
        <v>109</v>
      </c>
      <c r="C12" s="70">
        <v>0.63100000000000001</v>
      </c>
    </row>
    <row r="13" spans="1:3" ht="15" customHeight="1" x14ac:dyDescent="0.25">
      <c r="B13" s="7" t="s">
        <v>110</v>
      </c>
      <c r="C13" s="70">
        <v>0.23899999999999999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0.1454</v>
      </c>
    </row>
    <row r="24" spans="1:3" ht="15" customHeight="1" x14ac:dyDescent="0.25">
      <c r="B24" s="20" t="s">
        <v>102</v>
      </c>
      <c r="C24" s="71">
        <v>0.49180000000000001</v>
      </c>
    </row>
    <row r="25" spans="1:3" ht="15" customHeight="1" x14ac:dyDescent="0.25">
      <c r="B25" s="20" t="s">
        <v>103</v>
      </c>
      <c r="C25" s="71">
        <v>0.28089999999999998</v>
      </c>
    </row>
    <row r="26" spans="1:3" ht="15" customHeight="1" x14ac:dyDescent="0.25">
      <c r="B26" s="20" t="s">
        <v>104</v>
      </c>
      <c r="C26" s="71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0.39200000000000002</v>
      </c>
    </row>
    <row r="30" spans="1:3" ht="14.25" customHeight="1" x14ac:dyDescent="0.25">
      <c r="B30" s="30" t="s">
        <v>76</v>
      </c>
      <c r="C30" s="73">
        <v>2.7999999999999997E-2</v>
      </c>
    </row>
    <row r="31" spans="1:3" ht="14.25" customHeight="1" x14ac:dyDescent="0.25">
      <c r="B31" s="30" t="s">
        <v>77</v>
      </c>
      <c r="C31" s="73">
        <v>5.7999999999999996E-2</v>
      </c>
    </row>
    <row r="32" spans="1:3" ht="14.25" customHeight="1" x14ac:dyDescent="0.25">
      <c r="B32" s="30" t="s">
        <v>78</v>
      </c>
      <c r="C32" s="73">
        <v>0.52200000001490121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37.9</v>
      </c>
    </row>
    <row r="38" spans="1:5" ht="15" customHeight="1" x14ac:dyDescent="0.25">
      <c r="B38" s="16" t="s">
        <v>91</v>
      </c>
      <c r="C38" s="75">
        <v>66.5</v>
      </c>
      <c r="D38" s="17"/>
      <c r="E38" s="18"/>
    </row>
    <row r="39" spans="1:5" ht="15" customHeight="1" x14ac:dyDescent="0.25">
      <c r="B39" s="16" t="s">
        <v>90</v>
      </c>
      <c r="C39" s="75">
        <v>85.9</v>
      </c>
      <c r="D39" s="17"/>
      <c r="E39" s="17"/>
    </row>
    <row r="40" spans="1:5" ht="15" customHeight="1" x14ac:dyDescent="0.25">
      <c r="B40" s="16" t="s">
        <v>171</v>
      </c>
      <c r="C40" s="75">
        <v>4.87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1.9099999999999999E-2</v>
      </c>
      <c r="D45" s="17"/>
    </row>
    <row r="46" spans="1:5" ht="15.75" customHeight="1" x14ac:dyDescent="0.25">
      <c r="B46" s="16" t="s">
        <v>11</v>
      </c>
      <c r="C46" s="71">
        <v>0.1</v>
      </c>
      <c r="D46" s="17"/>
    </row>
    <row r="47" spans="1:5" ht="15.75" customHeight="1" x14ac:dyDescent="0.25">
      <c r="B47" s="16" t="s">
        <v>12</v>
      </c>
      <c r="C47" s="71">
        <v>0.19769999999999999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2.7991136791725002</v>
      </c>
      <c r="D51" s="17"/>
    </row>
    <row r="52" spans="1:4" ht="15" customHeight="1" x14ac:dyDescent="0.25">
      <c r="B52" s="16" t="s">
        <v>125</v>
      </c>
      <c r="C52" s="76">
        <v>2.69680719593</v>
      </c>
    </row>
    <row r="53" spans="1:4" ht="15.75" customHeight="1" x14ac:dyDescent="0.25">
      <c r="B53" s="16" t="s">
        <v>126</v>
      </c>
      <c r="C53" s="76">
        <v>2.69680719593</v>
      </c>
    </row>
    <row r="54" spans="1:4" ht="15.75" customHeight="1" x14ac:dyDescent="0.25">
      <c r="B54" s="16" t="s">
        <v>127</v>
      </c>
      <c r="C54" s="76">
        <v>1.60862787974</v>
      </c>
    </row>
    <row r="55" spans="1:4" ht="15.75" customHeight="1" x14ac:dyDescent="0.25">
      <c r="B55" s="16" t="s">
        <v>128</v>
      </c>
      <c r="C55" s="76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0.4519504239805931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38.228563212348725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39.436317937111831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103.97040719198429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0.32878945946683652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1.0357836515937258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1.0357836515937258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1.0357836515937258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1.0357836515937258</v>
      </c>
      <c r="E13" s="86" t="s">
        <v>202</v>
      </c>
    </row>
    <row r="14" spans="1:5" ht="15.75" customHeight="1" x14ac:dyDescent="0.25">
      <c r="A14" s="11" t="s">
        <v>187</v>
      </c>
      <c r="B14" s="85">
        <v>0.51400000000000001</v>
      </c>
      <c r="C14" s="85">
        <v>0.95</v>
      </c>
      <c r="D14" s="86">
        <v>12.568617380907742</v>
      </c>
      <c r="E14" s="86" t="s">
        <v>202</v>
      </c>
    </row>
    <row r="15" spans="1:5" ht="15.75" customHeight="1" x14ac:dyDescent="0.25">
      <c r="A15" s="11" t="s">
        <v>209</v>
      </c>
      <c r="B15" s="85">
        <v>0.51400000000000001</v>
      </c>
      <c r="C15" s="85">
        <v>0.95</v>
      </c>
      <c r="D15" s="86">
        <v>12.568617380907742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0.27538318080309132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0.23100000000000001</v>
      </c>
      <c r="C18" s="85">
        <v>0.95</v>
      </c>
      <c r="D18" s="87">
        <v>2.4903242449752758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2.4903242449752758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2.4903242449752758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3.0954058413748049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21.456851937503178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4.0021113729210773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18.113923100883024</v>
      </c>
      <c r="E24" s="86" t="s">
        <v>202</v>
      </c>
    </row>
    <row r="25" spans="1:5" ht="15.75" customHeight="1" x14ac:dyDescent="0.25">
      <c r="A25" s="52" t="s">
        <v>87</v>
      </c>
      <c r="B25" s="85">
        <v>0.54600000000000004</v>
      </c>
      <c r="C25" s="85">
        <v>0.95</v>
      </c>
      <c r="D25" s="86">
        <v>18.135839536939876</v>
      </c>
      <c r="E25" s="86" t="s">
        <v>202</v>
      </c>
    </row>
    <row r="26" spans="1:5" ht="15.75" customHeight="1" x14ac:dyDescent="0.25">
      <c r="A26" s="52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4.2990225110267657</v>
      </c>
      <c r="E27" s="86" t="s">
        <v>202</v>
      </c>
    </row>
    <row r="28" spans="1:5" ht="15.75" customHeight="1" x14ac:dyDescent="0.25">
      <c r="A28" s="52" t="s">
        <v>84</v>
      </c>
      <c r="B28" s="85">
        <v>0.53400000000000003</v>
      </c>
      <c r="C28" s="85">
        <v>0.95</v>
      </c>
      <c r="D28" s="86">
        <v>1.096485683306172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86">
        <v>68.455567700421739</v>
      </c>
      <c r="E29" s="86" t="s">
        <v>202</v>
      </c>
    </row>
    <row r="30" spans="1:5" ht="15.75" customHeight="1" x14ac:dyDescent="0.25">
      <c r="A30" s="52" t="s">
        <v>67</v>
      </c>
      <c r="B30" s="85">
        <v>6.2E-2</v>
      </c>
      <c r="C30" s="85">
        <v>0.95</v>
      </c>
      <c r="D30" s="86">
        <v>0.4685375268623197</v>
      </c>
      <c r="E30" s="86" t="s">
        <v>202</v>
      </c>
    </row>
    <row r="31" spans="1:5" ht="15.75" customHeight="1" x14ac:dyDescent="0.25">
      <c r="A31" s="52" t="s">
        <v>28</v>
      </c>
      <c r="B31" s="85">
        <v>0.50800000000000001</v>
      </c>
      <c r="C31" s="85">
        <v>0.95</v>
      </c>
      <c r="D31" s="86">
        <v>0.54566520211153513</v>
      </c>
      <c r="E31" s="86" t="s">
        <v>202</v>
      </c>
    </row>
    <row r="32" spans="1:5" ht="15.75" customHeight="1" x14ac:dyDescent="0.25">
      <c r="A32" s="52" t="s">
        <v>83</v>
      </c>
      <c r="B32" s="85">
        <v>0.46200000000000002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0.61799999999999999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0.30299999999999999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0.81799999999999995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0.223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6.9999999999999993E-3</v>
      </c>
      <c r="C37" s="85">
        <v>0.95</v>
      </c>
      <c r="D37" s="86">
        <v>3.150883261827913</v>
      </c>
      <c r="E37" s="86" t="s">
        <v>202</v>
      </c>
    </row>
    <row r="38" spans="1:6" ht="15.75" customHeight="1" x14ac:dyDescent="0.25">
      <c r="A38" s="52" t="s">
        <v>60</v>
      </c>
      <c r="B38" s="85">
        <v>6.9999999999999993E-3</v>
      </c>
      <c r="C38" s="85">
        <v>0.95</v>
      </c>
      <c r="D38" s="86">
        <v>0.56679230693254912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0.11914902532000002</v>
      </c>
      <c r="C3" s="26">
        <f>frac_mam_1_5months * 2.6</f>
        <v>0.11914902532000002</v>
      </c>
      <c r="D3" s="26">
        <f>frac_mam_6_11months * 2.6</f>
        <v>5.8867091400000009E-2</v>
      </c>
      <c r="E3" s="26">
        <f>frac_mam_12_23months * 2.6</f>
        <v>0.11048951419999999</v>
      </c>
      <c r="F3" s="26">
        <f>frac_mam_24_59months * 2.6</f>
        <v>3.2083820773333334E-2</v>
      </c>
    </row>
    <row r="4" spans="1:6" ht="15.75" customHeight="1" x14ac:dyDescent="0.25">
      <c r="A4" s="3" t="s">
        <v>66</v>
      </c>
      <c r="B4" s="26">
        <f>frac_sam_1month * 2.6</f>
        <v>2.1030234679999999E-2</v>
      </c>
      <c r="C4" s="26">
        <f>frac_sam_1_5months * 2.6</f>
        <v>2.1030234679999999E-2</v>
      </c>
      <c r="D4" s="26">
        <f>frac_sam_6_11months * 2.6</f>
        <v>5.8579240200000014E-2</v>
      </c>
      <c r="E4" s="26">
        <f>frac_sam_12_23months * 2.6</f>
        <v>3.0333934800000007E-2</v>
      </c>
      <c r="F4" s="26">
        <f>frac_sam_24_59months * 2.6</f>
        <v>4.5496480466666669E-3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61488.289347999998</v>
      </c>
      <c r="C2" s="78">
        <v>123032</v>
      </c>
      <c r="D2" s="78">
        <v>226036</v>
      </c>
      <c r="E2" s="78">
        <v>161425</v>
      </c>
      <c r="F2" s="78">
        <v>85116</v>
      </c>
      <c r="G2" s="22">
        <f t="shared" ref="G2:G40" si="0">C2+D2+E2+F2</f>
        <v>595609</v>
      </c>
      <c r="H2" s="22">
        <f t="shared" ref="H2:H40" si="1">(B2 + stillbirth*B2/(1000-stillbirth))/(1-abortion)</f>
        <v>72081.78954908064</v>
      </c>
      <c r="I2" s="22">
        <f>G2-H2</f>
        <v>523527.21045091935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61424.608999999997</v>
      </c>
      <c r="C3" s="78">
        <v>122000</v>
      </c>
      <c r="D3" s="78">
        <v>229000</v>
      </c>
      <c r="E3" s="78">
        <v>168000</v>
      </c>
      <c r="F3" s="78">
        <v>88000</v>
      </c>
      <c r="G3" s="22">
        <f t="shared" si="0"/>
        <v>607000</v>
      </c>
      <c r="H3" s="22">
        <f t="shared" si="1"/>
        <v>72007.138042401537</v>
      </c>
      <c r="I3" s="22">
        <f t="shared" ref="I3:I15" si="3">G3-H3</f>
        <v>534992.86195759848</v>
      </c>
    </row>
    <row r="4" spans="1:9" ht="15.75" customHeight="1" x14ac:dyDescent="0.25">
      <c r="A4" s="7">
        <f t="shared" si="2"/>
        <v>2019</v>
      </c>
      <c r="B4" s="77">
        <v>61346.921999999999</v>
      </c>
      <c r="C4" s="78">
        <v>121000</v>
      </c>
      <c r="D4" s="78">
        <v>231000</v>
      </c>
      <c r="E4" s="78">
        <v>174000</v>
      </c>
      <c r="F4" s="78">
        <v>90000</v>
      </c>
      <c r="G4" s="22">
        <f t="shared" si="0"/>
        <v>616000</v>
      </c>
      <c r="H4" s="22">
        <f t="shared" si="1"/>
        <v>71916.066749898891</v>
      </c>
      <c r="I4" s="22">
        <f t="shared" si="3"/>
        <v>544083.93325010105</v>
      </c>
    </row>
    <row r="5" spans="1:9" ht="15.75" customHeight="1" x14ac:dyDescent="0.25">
      <c r="A5" s="7">
        <f t="shared" si="2"/>
        <v>2020</v>
      </c>
      <c r="B5" s="77">
        <v>61219.53</v>
      </c>
      <c r="C5" s="78">
        <v>120000</v>
      </c>
      <c r="D5" s="78">
        <v>233000</v>
      </c>
      <c r="E5" s="78">
        <v>179000</v>
      </c>
      <c r="F5" s="78">
        <v>94000</v>
      </c>
      <c r="G5" s="22">
        <f t="shared" si="0"/>
        <v>626000</v>
      </c>
      <c r="H5" s="22">
        <f t="shared" si="1"/>
        <v>71766.727039336023</v>
      </c>
      <c r="I5" s="22">
        <f t="shared" si="3"/>
        <v>554233.27296066401</v>
      </c>
    </row>
    <row r="6" spans="1:9" ht="15.75" customHeight="1" x14ac:dyDescent="0.25">
      <c r="A6" s="7">
        <f t="shared" si="2"/>
        <v>2021</v>
      </c>
      <c r="B6" s="77">
        <v>61046.159999999989</v>
      </c>
      <c r="C6" s="78">
        <v>120000</v>
      </c>
      <c r="D6" s="78">
        <v>234000</v>
      </c>
      <c r="E6" s="78">
        <v>183000</v>
      </c>
      <c r="F6" s="78">
        <v>100000</v>
      </c>
      <c r="G6" s="22">
        <f t="shared" si="0"/>
        <v>637000</v>
      </c>
      <c r="H6" s="22">
        <f t="shared" si="1"/>
        <v>71563.488016318195</v>
      </c>
      <c r="I6" s="22">
        <f t="shared" si="3"/>
        <v>565436.51198368182</v>
      </c>
    </row>
    <row r="7" spans="1:9" ht="15.75" customHeight="1" x14ac:dyDescent="0.25">
      <c r="A7" s="7">
        <f t="shared" si="2"/>
        <v>2022</v>
      </c>
      <c r="B7" s="77">
        <v>60822.64499999999</v>
      </c>
      <c r="C7" s="78">
        <v>120000</v>
      </c>
      <c r="D7" s="78">
        <v>234000</v>
      </c>
      <c r="E7" s="78">
        <v>186000</v>
      </c>
      <c r="F7" s="78">
        <v>104000</v>
      </c>
      <c r="G7" s="22">
        <f t="shared" si="0"/>
        <v>644000</v>
      </c>
      <c r="H7" s="22">
        <f t="shared" si="1"/>
        <v>71301.464769909784</v>
      </c>
      <c r="I7" s="22">
        <f t="shared" si="3"/>
        <v>572698.53523009026</v>
      </c>
    </row>
    <row r="8" spans="1:9" ht="15.75" customHeight="1" x14ac:dyDescent="0.25">
      <c r="A8" s="7">
        <f t="shared" si="2"/>
        <v>2023</v>
      </c>
      <c r="B8" s="77">
        <v>60550.214999999989</v>
      </c>
      <c r="C8" s="78">
        <v>120000</v>
      </c>
      <c r="D8" s="78">
        <v>234000</v>
      </c>
      <c r="E8" s="78">
        <v>190000</v>
      </c>
      <c r="F8" s="78">
        <v>111000</v>
      </c>
      <c r="G8" s="22">
        <f t="shared" si="0"/>
        <v>655000</v>
      </c>
      <c r="H8" s="22">
        <f t="shared" si="1"/>
        <v>70982.099210466142</v>
      </c>
      <c r="I8" s="22">
        <f t="shared" si="3"/>
        <v>584017.90078953386</v>
      </c>
    </row>
    <row r="9" spans="1:9" ht="15.75" customHeight="1" x14ac:dyDescent="0.25">
      <c r="A9" s="7">
        <f t="shared" si="2"/>
        <v>2024</v>
      </c>
      <c r="B9" s="77">
        <v>60279.549999999996</v>
      </c>
      <c r="C9" s="78">
        <v>121000</v>
      </c>
      <c r="D9" s="78">
        <v>234000</v>
      </c>
      <c r="E9" s="78">
        <v>193000</v>
      </c>
      <c r="F9" s="78">
        <v>117000</v>
      </c>
      <c r="G9" s="22">
        <f t="shared" si="0"/>
        <v>665000</v>
      </c>
      <c r="H9" s="22">
        <f t="shared" si="1"/>
        <v>70664.802733768243</v>
      </c>
      <c r="I9" s="22">
        <f t="shared" si="3"/>
        <v>594335.19726623176</v>
      </c>
    </row>
    <row r="10" spans="1:9" ht="15.75" customHeight="1" x14ac:dyDescent="0.25">
      <c r="A10" s="7">
        <f t="shared" si="2"/>
        <v>2025</v>
      </c>
      <c r="B10" s="77">
        <v>59960.79</v>
      </c>
      <c r="C10" s="78">
        <v>122000</v>
      </c>
      <c r="D10" s="78">
        <v>234000</v>
      </c>
      <c r="E10" s="78">
        <v>196000</v>
      </c>
      <c r="F10" s="78">
        <v>123000</v>
      </c>
      <c r="G10" s="22">
        <f t="shared" si="0"/>
        <v>675000</v>
      </c>
      <c r="H10" s="22">
        <f t="shared" si="1"/>
        <v>70291.125217605368</v>
      </c>
      <c r="I10" s="22">
        <f t="shared" si="3"/>
        <v>604708.87478239462</v>
      </c>
    </row>
    <row r="11" spans="1:9" ht="15.75" customHeight="1" x14ac:dyDescent="0.25">
      <c r="A11" s="7">
        <f t="shared" si="2"/>
        <v>2026</v>
      </c>
      <c r="B11" s="77">
        <v>59839.581000000006</v>
      </c>
      <c r="C11" s="78">
        <v>124000</v>
      </c>
      <c r="D11" s="78">
        <v>234000</v>
      </c>
      <c r="E11" s="78">
        <v>199000</v>
      </c>
      <c r="F11" s="78">
        <v>129000</v>
      </c>
      <c r="G11" s="22">
        <f t="shared" si="0"/>
        <v>686000</v>
      </c>
      <c r="H11" s="22">
        <f t="shared" si="1"/>
        <v>70149.033744219181</v>
      </c>
      <c r="I11" s="22">
        <f t="shared" si="3"/>
        <v>615850.96625578078</v>
      </c>
    </row>
    <row r="12" spans="1:9" ht="15.75" customHeight="1" x14ac:dyDescent="0.25">
      <c r="A12" s="7">
        <f t="shared" si="2"/>
        <v>2027</v>
      </c>
      <c r="B12" s="77">
        <v>59675.509800000007</v>
      </c>
      <c r="C12" s="78">
        <v>127000</v>
      </c>
      <c r="D12" s="78">
        <v>233000</v>
      </c>
      <c r="E12" s="78">
        <v>202000</v>
      </c>
      <c r="F12" s="78">
        <v>135000</v>
      </c>
      <c r="G12" s="22">
        <f t="shared" si="0"/>
        <v>697000</v>
      </c>
      <c r="H12" s="22">
        <f t="shared" si="1"/>
        <v>69956.695563488029</v>
      </c>
      <c r="I12" s="22">
        <f t="shared" si="3"/>
        <v>627043.30443651194</v>
      </c>
    </row>
    <row r="13" spans="1:9" ht="15.75" customHeight="1" x14ac:dyDescent="0.25">
      <c r="A13" s="7">
        <f t="shared" si="2"/>
        <v>2028</v>
      </c>
      <c r="B13" s="77">
        <v>59492.891400000015</v>
      </c>
      <c r="C13" s="78">
        <v>130000</v>
      </c>
      <c r="D13" s="78">
        <v>232000</v>
      </c>
      <c r="E13" s="78">
        <v>204000</v>
      </c>
      <c r="F13" s="78">
        <v>140000</v>
      </c>
      <c r="G13" s="22">
        <f t="shared" si="0"/>
        <v>706000</v>
      </c>
      <c r="H13" s="22">
        <f t="shared" si="1"/>
        <v>69742.61478133958</v>
      </c>
      <c r="I13" s="22">
        <f t="shared" si="3"/>
        <v>636257.38521866046</v>
      </c>
    </row>
    <row r="14" spans="1:9" ht="15.75" customHeight="1" x14ac:dyDescent="0.25">
      <c r="A14" s="7">
        <f t="shared" si="2"/>
        <v>2029</v>
      </c>
      <c r="B14" s="77">
        <v>59314.716000000015</v>
      </c>
      <c r="C14" s="78">
        <v>133000</v>
      </c>
      <c r="D14" s="78">
        <v>232000</v>
      </c>
      <c r="E14" s="78">
        <v>208000</v>
      </c>
      <c r="F14" s="78">
        <v>146000</v>
      </c>
      <c r="G14" s="22">
        <f t="shared" si="0"/>
        <v>719000</v>
      </c>
      <c r="H14" s="22">
        <f t="shared" si="1"/>
        <v>69533.742460743131</v>
      </c>
      <c r="I14" s="22">
        <f t="shared" si="3"/>
        <v>649466.25753925683</v>
      </c>
    </row>
    <row r="15" spans="1:9" ht="15.75" customHeight="1" x14ac:dyDescent="0.25">
      <c r="A15" s="7">
        <f t="shared" si="2"/>
        <v>2030</v>
      </c>
      <c r="B15" s="77">
        <v>59094.671999999999</v>
      </c>
      <c r="C15" s="78">
        <v>135000</v>
      </c>
      <c r="D15" s="78">
        <v>233000</v>
      </c>
      <c r="E15" s="78">
        <v>209000</v>
      </c>
      <c r="F15" s="78">
        <v>151000</v>
      </c>
      <c r="G15" s="22">
        <f t="shared" si="0"/>
        <v>728000</v>
      </c>
      <c r="H15" s="22">
        <f t="shared" si="1"/>
        <v>69275.788215020482</v>
      </c>
      <c r="I15" s="22">
        <f t="shared" si="3"/>
        <v>658724.21178497956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128.95133259479388</v>
      </c>
      <c r="I17" s="22">
        <f t="shared" si="4"/>
        <v>-128.95133259479388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0.10015140574999998</v>
      </c>
    </row>
    <row r="4" spans="1:8" ht="15.75" customHeight="1" x14ac:dyDescent="0.25">
      <c r="B4" s="24" t="s">
        <v>7</v>
      </c>
      <c r="C4" s="79">
        <v>0.13574501595828992</v>
      </c>
    </row>
    <row r="5" spans="1:8" ht="15.75" customHeight="1" x14ac:dyDescent="0.25">
      <c r="B5" s="24" t="s">
        <v>8</v>
      </c>
      <c r="C5" s="79">
        <v>0.13721339389921997</v>
      </c>
    </row>
    <row r="6" spans="1:8" ht="15.75" customHeight="1" x14ac:dyDescent="0.25">
      <c r="B6" s="24" t="s">
        <v>10</v>
      </c>
      <c r="C6" s="79">
        <v>0.10795812603216237</v>
      </c>
    </row>
    <row r="7" spans="1:8" ht="15.75" customHeight="1" x14ac:dyDescent="0.25">
      <c r="B7" s="24" t="s">
        <v>13</v>
      </c>
      <c r="C7" s="79">
        <v>0.17259303266484527</v>
      </c>
    </row>
    <row r="8" spans="1:8" ht="15.75" customHeight="1" x14ac:dyDescent="0.25">
      <c r="B8" s="24" t="s">
        <v>14</v>
      </c>
      <c r="C8" s="79">
        <v>7.9806278948245488E-4</v>
      </c>
    </row>
    <row r="9" spans="1:8" ht="15.75" customHeight="1" x14ac:dyDescent="0.25">
      <c r="B9" s="24" t="s">
        <v>27</v>
      </c>
      <c r="C9" s="79">
        <v>5.416514491297085E-2</v>
      </c>
    </row>
    <row r="10" spans="1:8" ht="15.75" customHeight="1" x14ac:dyDescent="0.25">
      <c r="B10" s="24" t="s">
        <v>15</v>
      </c>
      <c r="C10" s="79">
        <v>0.29137581799302914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0.26366477731266402</v>
      </c>
      <c r="D14" s="79">
        <v>0.26366477731266402</v>
      </c>
      <c r="E14" s="79">
        <v>0.31520414581105299</v>
      </c>
      <c r="F14" s="79">
        <v>0.31520414581105299</v>
      </c>
    </row>
    <row r="15" spans="1:8" ht="15.75" customHeight="1" x14ac:dyDescent="0.25">
      <c r="B15" s="24" t="s">
        <v>16</v>
      </c>
      <c r="C15" s="79">
        <v>0.22658004104464699</v>
      </c>
      <c r="D15" s="79">
        <v>0.22658004104464699</v>
      </c>
      <c r="E15" s="79">
        <v>0.14317576240294799</v>
      </c>
      <c r="F15" s="79">
        <v>0.14317576240294799</v>
      </c>
    </row>
    <row r="16" spans="1:8" ht="15.75" customHeight="1" x14ac:dyDescent="0.25">
      <c r="B16" s="24" t="s">
        <v>17</v>
      </c>
      <c r="C16" s="79">
        <v>1.50533017348533E-2</v>
      </c>
      <c r="D16" s="79">
        <v>1.50533017348533E-2</v>
      </c>
      <c r="E16" s="79">
        <v>1.84188516327017E-2</v>
      </c>
      <c r="F16" s="79">
        <v>1.84188516327017E-2</v>
      </c>
    </row>
    <row r="17" spans="1:8" ht="15.75" customHeight="1" x14ac:dyDescent="0.25">
      <c r="B17" s="24" t="s">
        <v>18</v>
      </c>
      <c r="C17" s="79">
        <v>6.649436274092679E-3</v>
      </c>
      <c r="D17" s="79">
        <v>6.649436274092679E-3</v>
      </c>
      <c r="E17" s="79">
        <v>2.6101645197984798E-2</v>
      </c>
      <c r="F17" s="79">
        <v>2.6101645197984798E-2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4.3968213634746501E-3</v>
      </c>
      <c r="D19" s="79">
        <v>4.3968213634746501E-3</v>
      </c>
      <c r="E19" s="79">
        <v>7.3787733548779403E-3</v>
      </c>
      <c r="F19" s="79">
        <v>7.3787733548779403E-3</v>
      </c>
    </row>
    <row r="20" spans="1:8" ht="15.75" customHeight="1" x14ac:dyDescent="0.25">
      <c r="B20" s="24" t="s">
        <v>21</v>
      </c>
      <c r="C20" s="79">
        <v>0.28913985482250798</v>
      </c>
      <c r="D20" s="79">
        <v>0.28913985482250798</v>
      </c>
      <c r="E20" s="79">
        <v>0.14306919061638901</v>
      </c>
      <c r="F20" s="79">
        <v>0.14306919061638901</v>
      </c>
    </row>
    <row r="21" spans="1:8" ht="15.75" customHeight="1" x14ac:dyDescent="0.25">
      <c r="B21" s="24" t="s">
        <v>22</v>
      </c>
      <c r="C21" s="79">
        <v>2.0480911867814696E-2</v>
      </c>
      <c r="D21" s="79">
        <v>2.0480911867814696E-2</v>
      </c>
      <c r="E21" s="79">
        <v>9.3916212240373595E-2</v>
      </c>
      <c r="F21" s="79">
        <v>9.3916212240373595E-2</v>
      </c>
    </row>
    <row r="22" spans="1:8" ht="15.75" customHeight="1" x14ac:dyDescent="0.25">
      <c r="B22" s="24" t="s">
        <v>23</v>
      </c>
      <c r="C22" s="79">
        <v>0.1740348555799458</v>
      </c>
      <c r="D22" s="79">
        <v>0.1740348555799458</v>
      </c>
      <c r="E22" s="79">
        <v>0.252735418743672</v>
      </c>
      <c r="F22" s="79">
        <v>0.252735418743672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7.85E-2</v>
      </c>
    </row>
    <row r="27" spans="1:8" ht="15.75" customHeight="1" x14ac:dyDescent="0.25">
      <c r="B27" s="24" t="s">
        <v>39</v>
      </c>
      <c r="C27" s="79">
        <v>7.9000000000000008E-3</v>
      </c>
    </row>
    <row r="28" spans="1:8" ht="15.75" customHeight="1" x14ac:dyDescent="0.25">
      <c r="B28" s="24" t="s">
        <v>40</v>
      </c>
      <c r="C28" s="79">
        <v>0.1394</v>
      </c>
    </row>
    <row r="29" spans="1:8" ht="15.75" customHeight="1" x14ac:dyDescent="0.25">
      <c r="B29" s="24" t="s">
        <v>41</v>
      </c>
      <c r="C29" s="79">
        <v>0.1515</v>
      </c>
    </row>
    <row r="30" spans="1:8" ht="15.75" customHeight="1" x14ac:dyDescent="0.25">
      <c r="B30" s="24" t="s">
        <v>42</v>
      </c>
      <c r="C30" s="79">
        <v>9.5600000000000004E-2</v>
      </c>
    </row>
    <row r="31" spans="1:8" ht="15.75" customHeight="1" x14ac:dyDescent="0.25">
      <c r="B31" s="24" t="s">
        <v>43</v>
      </c>
      <c r="C31" s="79">
        <v>9.8100000000000007E-2</v>
      </c>
    </row>
    <row r="32" spans="1:8" ht="15.75" customHeight="1" x14ac:dyDescent="0.25">
      <c r="B32" s="24" t="s">
        <v>44</v>
      </c>
      <c r="C32" s="79">
        <v>1.6500000000000001E-2</v>
      </c>
    </row>
    <row r="33" spans="2:3" ht="15.75" customHeight="1" x14ac:dyDescent="0.25">
      <c r="B33" s="24" t="s">
        <v>45</v>
      </c>
      <c r="C33" s="79">
        <v>7.5600000000000001E-2</v>
      </c>
    </row>
    <row r="34" spans="2:3" ht="15.75" customHeight="1" x14ac:dyDescent="0.25">
      <c r="B34" s="24" t="s">
        <v>46</v>
      </c>
      <c r="C34" s="79">
        <v>0.33689999999999998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0.65058943963409954</v>
      </c>
      <c r="D2" s="80">
        <v>0.65058943963409954</v>
      </c>
      <c r="E2" s="80">
        <v>0.48917856273148147</v>
      </c>
      <c r="F2" s="80">
        <v>0.33346543423713237</v>
      </c>
      <c r="G2" s="80">
        <v>0.26673917755894966</v>
      </c>
    </row>
    <row r="3" spans="1:15" ht="15.75" customHeight="1" x14ac:dyDescent="0.25">
      <c r="A3" s="5"/>
      <c r="B3" s="11" t="s">
        <v>118</v>
      </c>
      <c r="C3" s="80">
        <v>0.20922478150560628</v>
      </c>
      <c r="D3" s="80">
        <v>0.20922478150560628</v>
      </c>
      <c r="E3" s="80">
        <v>0.28775209572440086</v>
      </c>
      <c r="F3" s="80">
        <v>0.33346543423713237</v>
      </c>
      <c r="G3" s="80">
        <v>0.34323055935894259</v>
      </c>
    </row>
    <row r="4" spans="1:15" ht="15.75" customHeight="1" x14ac:dyDescent="0.25">
      <c r="A4" s="5"/>
      <c r="B4" s="11" t="s">
        <v>116</v>
      </c>
      <c r="C4" s="81">
        <v>0.11460443235294115</v>
      </c>
      <c r="D4" s="81">
        <v>0.11460443235294115</v>
      </c>
      <c r="E4" s="81">
        <v>0.18213918713235297</v>
      </c>
      <c r="F4" s="81">
        <v>0.2481390611213235</v>
      </c>
      <c r="G4" s="81">
        <v>0.2481390611213235</v>
      </c>
    </row>
    <row r="5" spans="1:15" ht="15.75" customHeight="1" x14ac:dyDescent="0.25">
      <c r="A5" s="5"/>
      <c r="B5" s="11" t="s">
        <v>119</v>
      </c>
      <c r="C5" s="81">
        <v>2.5581346507352946E-2</v>
      </c>
      <c r="D5" s="81">
        <v>2.5581346507352946E-2</v>
      </c>
      <c r="E5" s="81">
        <v>4.0930154411764709E-2</v>
      </c>
      <c r="F5" s="81">
        <v>8.4930070404411764E-2</v>
      </c>
      <c r="G5" s="81">
        <v>0.14189120196078431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0.87957106128016793</v>
      </c>
      <c r="D8" s="80">
        <v>0.87957106128016793</v>
      </c>
      <c r="E8" s="80">
        <v>0.81423390770127124</v>
      </c>
      <c r="F8" s="80">
        <v>0.82710863387658229</v>
      </c>
      <c r="G8" s="80">
        <v>0.91984921599157354</v>
      </c>
    </row>
    <row r="9" spans="1:15" ht="15.75" customHeight="1" x14ac:dyDescent="0.25">
      <c r="B9" s="7" t="s">
        <v>121</v>
      </c>
      <c r="C9" s="80">
        <v>6.651383871983213E-2</v>
      </c>
      <c r="D9" s="80">
        <v>6.651383871983213E-2</v>
      </c>
      <c r="E9" s="80">
        <v>0.14059442629872881</v>
      </c>
      <c r="F9" s="80">
        <v>0.11872850112341773</v>
      </c>
      <c r="G9" s="80">
        <v>6.6060988308426397E-2</v>
      </c>
    </row>
    <row r="10" spans="1:15" ht="15.75" customHeight="1" x14ac:dyDescent="0.25">
      <c r="B10" s="7" t="s">
        <v>122</v>
      </c>
      <c r="C10" s="81">
        <v>4.5826548200000004E-2</v>
      </c>
      <c r="D10" s="81">
        <v>4.5826548200000004E-2</v>
      </c>
      <c r="E10" s="81">
        <v>2.2641189000000003E-2</v>
      </c>
      <c r="F10" s="81">
        <v>4.2495966999999996E-2</v>
      </c>
      <c r="G10" s="81">
        <v>1.2339931066666665E-2</v>
      </c>
    </row>
    <row r="11" spans="1:15" ht="15.75" customHeight="1" x14ac:dyDescent="0.25">
      <c r="B11" s="7" t="s">
        <v>123</v>
      </c>
      <c r="C11" s="81">
        <v>8.0885517999999997E-3</v>
      </c>
      <c r="D11" s="81">
        <v>8.0885517999999997E-3</v>
      </c>
      <c r="E11" s="81">
        <v>2.2530477000000004E-2</v>
      </c>
      <c r="F11" s="81">
        <v>1.1666898000000002E-2</v>
      </c>
      <c r="G11" s="81">
        <v>1.7498646333333333E-3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0.54817841550000002</v>
      </c>
      <c r="D14" s="82">
        <v>0.53192778054099998</v>
      </c>
      <c r="E14" s="82">
        <v>0.53192778054099998</v>
      </c>
      <c r="F14" s="82">
        <v>0.51498086482299998</v>
      </c>
      <c r="G14" s="82">
        <v>0.51498086482299998</v>
      </c>
      <c r="H14" s="83">
        <v>0.61299999999999999</v>
      </c>
      <c r="I14" s="83">
        <v>0.31338827838827843</v>
      </c>
      <c r="J14" s="83">
        <v>0.37710622710622715</v>
      </c>
      <c r="K14" s="83">
        <v>0.37190476190476196</v>
      </c>
      <c r="L14" s="83">
        <v>0.24137671558400001</v>
      </c>
      <c r="M14" s="83">
        <v>0.191743320178</v>
      </c>
      <c r="N14" s="83">
        <v>0.2286784670035</v>
      </c>
      <c r="O14" s="83">
        <v>0.24380363512800002</v>
      </c>
    </row>
    <row r="15" spans="1:15" ht="15.75" customHeight="1" x14ac:dyDescent="0.25">
      <c r="B15" s="16" t="s">
        <v>68</v>
      </c>
      <c r="C15" s="80">
        <f>iron_deficiency_anaemia*C14</f>
        <v>0.24774946730223474</v>
      </c>
      <c r="D15" s="80">
        <f t="shared" ref="D15:O15" si="0">iron_deficiency_anaemia*D14</f>
        <v>0.24040498594256082</v>
      </c>
      <c r="E15" s="80">
        <f t="shared" si="0"/>
        <v>0.24040498594256082</v>
      </c>
      <c r="F15" s="80">
        <f t="shared" si="0"/>
        <v>0.23274582019864734</v>
      </c>
      <c r="G15" s="80">
        <f t="shared" si="0"/>
        <v>0.23274582019864734</v>
      </c>
      <c r="H15" s="80">
        <f t="shared" si="0"/>
        <v>0.27704560990010357</v>
      </c>
      <c r="I15" s="80">
        <f t="shared" si="0"/>
        <v>0.14163596528813058</v>
      </c>
      <c r="J15" s="80">
        <f t="shared" si="0"/>
        <v>0.17043331922638119</v>
      </c>
      <c r="K15" s="80">
        <f t="shared" si="0"/>
        <v>0.1680825148232587</v>
      </c>
      <c r="L15" s="80">
        <f t="shared" si="0"/>
        <v>0.10909030894723183</v>
      </c>
      <c r="M15" s="80">
        <f t="shared" si="0"/>
        <v>8.665847484989371E-2</v>
      </c>
      <c r="N15" s="80">
        <f t="shared" si="0"/>
        <v>0.10335133011746389</v>
      </c>
      <c r="O15" s="80">
        <f t="shared" si="0"/>
        <v>0.11018715626410942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0.66900000000000004</v>
      </c>
      <c r="D2" s="81">
        <v>0.66900000000000004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0.13500000000000001</v>
      </c>
      <c r="D3" s="81">
        <v>8.4000000000000005E-2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9.6000000000000002E-2</v>
      </c>
      <c r="D4" s="81">
        <v>9.6000000000000002E-2</v>
      </c>
      <c r="E4" s="81">
        <v>0.76500000000000001</v>
      </c>
      <c r="F4" s="81">
        <v>0.8075</v>
      </c>
      <c r="G4" s="81">
        <v>0</v>
      </c>
    </row>
    <row r="5" spans="1:7" x14ac:dyDescent="0.25">
      <c r="B5" s="43" t="s">
        <v>169</v>
      </c>
      <c r="C5" s="80">
        <f>1-SUM(C2:C4)</f>
        <v>9.9999999999999978E-2</v>
      </c>
      <c r="D5" s="80">
        <f>1-SUM(D2:D4)</f>
        <v>0.15100000000000002</v>
      </c>
      <c r="E5" s="80">
        <f>1-SUM(E2:E4)</f>
        <v>0.23499999999999999</v>
      </c>
      <c r="F5" s="80">
        <f>1-SUM(F2:F4)</f>
        <v>0.1925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0.37732999999999994</v>
      </c>
      <c r="D2" s="144">
        <v>0.37069000000000002</v>
      </c>
      <c r="E2" s="144">
        <v>0.36426999999999998</v>
      </c>
      <c r="F2" s="144">
        <v>0.35790999999999995</v>
      </c>
      <c r="G2" s="144">
        <v>0.35161999999999999</v>
      </c>
      <c r="H2" s="144">
        <v>0.34582000000000002</v>
      </c>
      <c r="I2" s="144">
        <v>0.34012999999999999</v>
      </c>
      <c r="J2" s="144">
        <v>0.33451999999999998</v>
      </c>
      <c r="K2" s="144">
        <v>0.32899</v>
      </c>
      <c r="L2" s="144">
        <v>0.32354999999999995</v>
      </c>
      <c r="M2" s="144">
        <v>0.31818999999999997</v>
      </c>
      <c r="N2" s="144">
        <v>0.31296000000000002</v>
      </c>
      <c r="O2" s="144">
        <v>0.30786000000000002</v>
      </c>
      <c r="P2" s="144">
        <v>0.3029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2.3610000000000003E-2</v>
      </c>
      <c r="D4" s="144">
        <v>2.351E-2</v>
      </c>
      <c r="E4" s="144">
        <v>2.342E-2</v>
      </c>
      <c r="F4" s="144">
        <v>2.3330000000000004E-2</v>
      </c>
      <c r="G4" s="144">
        <v>2.3239999999999997E-2</v>
      </c>
      <c r="H4" s="144">
        <v>2.3130000000000001E-2</v>
      </c>
      <c r="I4" s="144">
        <v>2.3019999999999999E-2</v>
      </c>
      <c r="J4" s="144">
        <v>2.2930000000000002E-2</v>
      </c>
      <c r="K4" s="144">
        <v>2.2839999999999999E-2</v>
      </c>
      <c r="L4" s="144">
        <v>2.2770000000000002E-2</v>
      </c>
      <c r="M4" s="144">
        <v>2.2700000000000001E-2</v>
      </c>
      <c r="N4" s="144">
        <v>2.2629999999999997E-2</v>
      </c>
      <c r="O4" s="144">
        <v>2.257E-2</v>
      </c>
      <c r="P4" s="144">
        <v>2.2509999999999999E-2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0.23440006137009128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0.17676417265366348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0.10135489020145227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0.66900000000000004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0.79333333333333333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69.016000000000005</v>
      </c>
      <c r="D13" s="143">
        <v>67.298000000000002</v>
      </c>
      <c r="E13" s="143">
        <v>65.481999999999999</v>
      </c>
      <c r="F13" s="143">
        <v>63.805</v>
      </c>
      <c r="G13" s="143">
        <v>62.293999999999997</v>
      </c>
      <c r="H13" s="143">
        <v>60.737000000000002</v>
      </c>
      <c r="I13" s="143">
        <v>59.5</v>
      </c>
      <c r="J13" s="143">
        <v>58.225999999999999</v>
      </c>
      <c r="K13" s="143">
        <v>57.000999999999998</v>
      </c>
      <c r="L13" s="143">
        <v>55.89</v>
      </c>
      <c r="M13" s="143">
        <v>54.726999999999997</v>
      </c>
      <c r="N13" s="143">
        <v>53.658999999999999</v>
      </c>
      <c r="O13" s="143">
        <v>52.658999999999999</v>
      </c>
      <c r="P13" s="143">
        <v>51.753999999999998</v>
      </c>
    </row>
    <row r="14" spans="1:16" x14ac:dyDescent="0.25">
      <c r="B14" s="16" t="s">
        <v>170</v>
      </c>
      <c r="C14" s="143">
        <f>maternal_mortality</f>
        <v>4.87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0.49700000000000005</v>
      </c>
      <c r="E2" s="92">
        <f>food_insecure</f>
        <v>0.49700000000000005</v>
      </c>
      <c r="F2" s="92">
        <f>food_insecure</f>
        <v>0.49700000000000005</v>
      </c>
      <c r="G2" s="92">
        <f>food_insecure</f>
        <v>0.49700000000000005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0.49700000000000005</v>
      </c>
      <c r="F5" s="92">
        <f>food_insecure</f>
        <v>0.49700000000000005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0.10765821842971154</v>
      </c>
      <c r="D7" s="92">
        <f>diarrhoea_1_5mo/26</f>
        <v>0.10372335368961538</v>
      </c>
      <c r="E7" s="92">
        <f>diarrhoea_6_11mo/26</f>
        <v>0.10372335368961538</v>
      </c>
      <c r="F7" s="92">
        <f>diarrhoea_12_23mo/26</f>
        <v>6.187030306692308E-2</v>
      </c>
      <c r="G7" s="92">
        <f>diarrhoea_24_59mo/26</f>
        <v>6.187030306692308E-2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0.49700000000000005</v>
      </c>
      <c r="F8" s="92">
        <f>food_insecure</f>
        <v>0.49700000000000005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0.63100000000000001</v>
      </c>
      <c r="E9" s="92">
        <f>IF(ISBLANK(comm_deliv), frac_children_health_facility,1)</f>
        <v>0.63100000000000001</v>
      </c>
      <c r="F9" s="92">
        <f>IF(ISBLANK(comm_deliv), frac_children_health_facility,1)</f>
        <v>0.63100000000000001</v>
      </c>
      <c r="G9" s="92">
        <f>IF(ISBLANK(comm_deliv), frac_children_health_facility,1)</f>
        <v>0.63100000000000001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0.10765821842971154</v>
      </c>
      <c r="D11" s="92">
        <f>diarrhoea_1_5mo/26</f>
        <v>0.10372335368961538</v>
      </c>
      <c r="E11" s="92">
        <f>diarrhoea_6_11mo/26</f>
        <v>0.10372335368961538</v>
      </c>
      <c r="F11" s="92">
        <f>diarrhoea_12_23mo/26</f>
        <v>6.187030306692308E-2</v>
      </c>
      <c r="G11" s="92">
        <f>diarrhoea_24_59mo/26</f>
        <v>6.187030306692308E-2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0.49700000000000005</v>
      </c>
      <c r="I14" s="92">
        <f>food_insecure</f>
        <v>0.49700000000000005</v>
      </c>
      <c r="J14" s="92">
        <f>food_insecure</f>
        <v>0.49700000000000005</v>
      </c>
      <c r="K14" s="92">
        <f>food_insecure</f>
        <v>0.49700000000000005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0.74400000000000011</v>
      </c>
      <c r="I17" s="92">
        <f>frac_PW_health_facility</f>
        <v>0.74400000000000011</v>
      </c>
      <c r="J17" s="92">
        <f>frac_PW_health_facility</f>
        <v>0.74400000000000011</v>
      </c>
      <c r="K17" s="92">
        <f>frac_PW_health_facility</f>
        <v>0.74400000000000011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0.23899999999999999</v>
      </c>
      <c r="M23" s="92">
        <f>famplan_unmet_need</f>
        <v>0.23899999999999999</v>
      </c>
      <c r="N23" s="92">
        <f>famplan_unmet_need</f>
        <v>0.23899999999999999</v>
      </c>
      <c r="O23" s="92">
        <f>famplan_unmet_need</f>
        <v>0.23899999999999999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0.32824903120727511</v>
      </c>
      <c r="M24" s="92">
        <f>(1-food_insecure)*(0.49)+food_insecure*(0.7)</f>
        <v>0.59436999999999995</v>
      </c>
      <c r="N24" s="92">
        <f>(1-food_insecure)*(0.49)+food_insecure*(0.7)</f>
        <v>0.59436999999999995</v>
      </c>
      <c r="O24" s="92">
        <f>(1-food_insecure)*(0.49)+food_insecure*(0.7)</f>
        <v>0.59436999999999995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0.14067815623168931</v>
      </c>
      <c r="M25" s="92">
        <f>(1-food_insecure)*(0.21)+food_insecure*(0.3)</f>
        <v>0.25473000000000001</v>
      </c>
      <c r="N25" s="92">
        <f>(1-food_insecure)*(0.21)+food_insecure*(0.3)</f>
        <v>0.25473000000000001</v>
      </c>
      <c r="O25" s="92">
        <f>(1-food_insecure)*(0.21)+food_insecure*(0.3)</f>
        <v>0.25473000000000001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8.3336606506347555E-2</v>
      </c>
      <c r="M26" s="92">
        <f>(1-food_insecure)*(0.3)</f>
        <v>0.15089999999999995</v>
      </c>
      <c r="N26" s="92">
        <f>(1-food_insecure)*(0.3)</f>
        <v>0.15089999999999995</v>
      </c>
      <c r="O26" s="92">
        <f>(1-food_insecure)*(0.3)</f>
        <v>0.15089999999999995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0.447736206054688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2020-03-24T06:49:40Z</dcterms:modified>
</cp:coreProperties>
</file>