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FEB59C3-BB20-4F75-BD44-D9E3AB4A075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18" i="2"/>
  <c r="I16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2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43D65A39-B4F3-4A1C-8C87-5B4E15B5A4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9B74F8E-6784-4655-A6D1-C84C0DEE459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A031D1DF-5063-4A49-918F-108BFC143D5F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77A20808-0F9E-481F-9D8D-3C71F217A9B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F637F142-1D0D-4075-989C-24F228933968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C14427E-89A4-48F4-A876-6B5D6EE4F298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CF3EB9EF-BFE4-4D23-8312-71E017E260A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E0D9157-644A-49D1-B137-FB10DFBE4EC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CA34F6BF-C5E6-441E-82B5-189962B79A7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B53D6F49-6E90-4742-9793-3B2DE4A2226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4AFA28BD-9A25-43F5-B4DF-D507B72F4D2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94094FF8-DCF1-458B-8058-A31FAFB7AD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4C241E1-42E7-4EC8-A2A7-C6C5E496F7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0864174D-9C62-4148-AFDB-04EBB26A8C1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D69C293-4A06-4ED4-8EA7-32E4D8105D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12EB670-1CB1-4FD4-A89C-284BC6508D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411A437-03F4-4350-ACD4-C778A5DA59A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1FE7F4D-3456-4C70-8CD2-C263BE72F6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DEDE43C-A276-4F86-BA6C-322D738F4B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F1F67660-0E4F-4E99-B5C8-90C2712396A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FF249490-3E89-4C20-9422-0780CE26F60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1F0EBF3F-4A55-46A1-ADEA-89FBBC75FC4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D46D9FB4-6BF7-4990-A1F7-D3C9CCA70B65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7AEE9B3-A645-430A-8DD5-A66438195F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E7097DB3-E96D-4DBC-966A-E80D044D58A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5FA81F1-C261-45AC-BBAD-B13629C1A71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9A950FFE-1D50-486D-B850-DB7347707AC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91EA0E45-A1E9-478A-A8A4-EAE29CD314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FD62C93-5741-4F1A-ACA6-B0D6B00B3A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06F78F6-DE2B-4E6F-B18F-996505DCAA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773D6526-B9F1-4731-8B3A-F1B8309B01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EE10869-3F44-462C-A71D-C4D060ABB8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951B93F-32DE-4FEF-8A5B-10679B4043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DC7E981E-1C1D-417F-A289-1850280DC286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4757643E-CC4A-4809-84AD-19280336037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48F8B50-2966-4997-9132-9766096545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3F59D204-416D-45D8-BF51-30BB3A56D4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22B34B81-48FB-4E89-AEEA-8E1239B908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5AAB088-9D1F-4A90-8293-7FC73411E7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DCBA4E17-9A8E-45E2-BD4C-59C0794BA7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2A04C84-5A69-41FD-A1DF-59A16E43FA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638AF95C-2311-4B50-B332-F28B0360F0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975E51D-C41E-433C-AD6B-7FF8427AB1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3D78E563-E2A8-4B3E-AE57-E86289E56E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80A00229-7C9E-4AE3-92FC-FC42246193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CBA657B4-D904-47A6-91B8-04EB7C9EEA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BCCE974A-4473-4938-9FAC-C8B180EADA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77E13B7E-E93C-49E6-B0B6-BBFC17F1BF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0CF1551-BADA-47CC-BA66-6AE8E2C523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B79F4EB-A38B-4F7B-8EA5-11F1FF2B51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E1D20E7-4A88-47E8-B579-4A5FF6F346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26AE27D-4E99-44F1-B752-BEB71FF1F4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543C760A-29D3-4924-B1D0-ED4E05BF3C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F0345B21-8AD9-4864-9789-7C238B58AC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1042223-7551-41C3-B83E-5228BB9AAF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1CD6A06-0E16-4B56-B735-467CB72405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023AD47-7584-467C-A6D5-2BAB670079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E6470B73-326E-4D66-BAA5-1D28963A17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FDC2DAAE-4ABF-4BF8-9607-F50470DEE5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D2AD65A-64C1-4436-A0AA-2453CBA30F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3AC08F5-339C-4B04-85F6-0C45FDEA10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8EEE582C-4F6B-4258-8309-47A764427B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3AFC8913-B58E-4C4F-B9B3-509E3B62BE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517C996-097E-48AF-8A65-EACDF1002D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CBCBB12-F035-4AFF-A293-8AF3E4FD55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85B6CD3-1C77-4821-9FE9-3FC17EC589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0EB5941-AF67-43B1-831C-71BECA1BC1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9BF1CCD1-0ED4-4CC3-A65E-58E76CCC60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718FC75-337F-43C6-BE11-EB187B6768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0726442B-1D28-494E-ADFE-EA836B4372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5F813E7-303A-4E9D-8F30-5CB0059EF7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8C3AB0A3-BFF5-47F8-9B6B-99DCF4AFA8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8DE5F095-A5FB-4A4D-978B-D969C2AEF3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F9DB14CE-8EFC-48C9-8B3D-C05C4B711C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6651FD8-1771-4EB6-9C1F-88C30A2810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C537BEDC-0BA5-454B-AB3B-D72193E53C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D9D543AA-CE2E-4888-91EA-48CAF8DAFC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4D55A19C-6B34-460D-A1B8-FD45DAD342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811640AD-94AB-4D75-9891-4FA4343484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31F028AD-895F-4371-9A19-EA08DDC1E4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BE622B3-AF4B-4D91-8958-759F462281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48FF3AE3-8526-4242-8CAA-8782ACF703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503054D-E4C3-4738-B5FE-194F106C7B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DD0F071-D263-4F92-A8AA-F378F20DCC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8DCEC072-9232-4CD6-BFE9-3AA39BFB20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AE23946-39FF-43A9-8685-61A30B83AB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B3079D9-9502-4EE7-AD2B-3EE6B2FFE5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F950AD65-35E7-4DC4-B1D1-1115BD8E75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989900F-03CF-4193-8BE1-B0C6B8AF14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4C12E1A-C131-4A24-8972-AE833D811D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2F2ED173-6ADD-47AA-8070-13134CA8EB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7E47699D-A82C-4F66-BD80-AE62C451DC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534A1F43-216E-4DA6-AC4E-8F67445B7A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1BC3716-CA4F-4C4A-B10C-3622C67D1E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0ACE21D-8EF0-4819-AA53-7F7D669FD3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818A5B3-1859-4C1C-9985-63A3150409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EEC1393E-52FC-4C52-BEF7-8176DD4197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9BF83741-D550-4BD6-96E7-0D663AFA0E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6E4AB0D7-499B-4794-8A5B-677565D291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8DCA1866-82B7-4BBE-B46F-7FFED80663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3F1FB89-871B-4E35-8748-3417BDAF36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52B2E94-60EA-47B5-BE33-5F792C47E9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946E1483-5F17-4ADB-9612-F8EC7D9D8D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A6C0F8E4-5D1E-4266-846C-D6A678BEBC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393DD801-86BF-443B-9BB1-2E35A1879D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AE1C691-50FE-4C03-B9EB-21DC6DEAF0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C3D5C4E-9775-4BDC-97DD-FD6C7008A1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FE157E9C-1E65-4C14-9824-0B0B59FDCC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14183C4E-EEC0-4F81-B3C7-919549E647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E5622D2D-8751-4145-92D6-B2A5AD70B8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B762AFA6-3C6C-4457-BEA8-C80EE4288C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79014AA1-C7BF-4A85-B03D-B4F8EA38D2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1F9DD744-FA6F-4433-8730-BD7993C72E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CD8E0216-2236-42A5-BA46-8C8C1BAC01B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9B8CE78F-26F7-423B-A04E-E14F044B7C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B382F13-A16A-4BE2-A05C-3E19D8CB7D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A925B94-B694-43E7-99C9-26043C1F90A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0F834CD-BB6E-429B-99E4-9B05D25A8B4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B529D47-10B2-45B4-A8B7-82973EDB48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73518136-0E38-4C3B-9235-C7069753F75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1EEE078B-8BE3-4612-909B-4A6B37780C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C3F67520-F1F5-4812-98FC-267A0E14E67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D6BD6B1C-C6D3-44DE-982C-CD0891141A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DB33E9E-D6AB-414E-B3AB-44325039230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2D1002D-647F-4533-A38C-CD2E99D484F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D39F68BB-4480-45CD-8A83-2A90432A63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FB17BB4-D195-4EDF-AE11-C37502C0033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877D5C3-E120-4F4A-90B0-6B7EC0D727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7F82522-8612-4C87-A9EE-48CA45E945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1B2C7C41-E335-45AC-B9BA-52EA8AB1B0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97F1E75-E012-49CB-A0D0-D11E3E4908B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7A882FE8-D13A-42AB-ACCB-9DEB27DFA9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B2F15E30-2E14-40DA-8047-F9A584F233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FDACF9D2-7C87-494D-9A10-567D05719F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407521F7-7121-4C9B-BA68-F508F29A55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2585E4E4-1537-4D8B-A9E4-C497D663C4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B55D8600-A667-487A-BFE1-D1BEB9BEC8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BBEC103F-8CB8-48E1-ACFB-712D2918610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087AC7B5-8433-4559-A131-37208DDBD3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93BAAD3A-2E7F-445B-B169-B4F5B90086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E590214-A3FF-43D8-BD68-9C55106C531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02223A9-C842-4D98-966C-317C67D6E8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D7EDA08-9E90-42A1-AE1D-F1F30FD47E1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E88064E-4202-4057-988C-B8ACEF193E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F94BC0E0-2623-463D-9AE1-E001C7DF6E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BE24AD7B-EF53-4082-858A-369BD4103C5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A110D2D0-4571-4C3E-A09D-FA99D0CD20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B28B9F04-A76E-40E8-B76B-E27265F27C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F01DF2A-CD4E-40A6-89BD-C3FAFC1BED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89027B0-B353-421B-BCAB-9D837BA71E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A7323696-10FF-47CD-BEAD-0859FC6EB32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3871937-9B79-45DB-8EB7-0B436AE0883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EA0D9880-D048-49FB-A280-EF7F8E6EF30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FF97EE3-8C5A-4D4A-A996-9A9E2261A3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4CE7A90-B3D7-464C-BDC2-BCD0C89909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5F9CB8B-F5FC-43AC-A0B3-F2F681E089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B5A81FD-52FF-44B9-B5B8-3A6C697480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CEA5D66-54C2-40A1-BE4E-67A3372ED464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F795B4E-BFF2-42C7-B7DA-DD73319873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33A2ECB3-B216-4533-9257-2326C84BD1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04FC4E1E-C627-4981-B805-3D400AA621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E1A8F1C-71D2-4861-AE62-CD90936386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BFEA6D28-F05E-4FB7-82DE-6073F4A0E0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3DCD021D-5A78-471E-AFCC-F9F091CBA1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171B041-0364-4BA4-AB94-F5EA8E75B6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5D8F128D-BA46-46DC-80EB-B9E3AAF0C8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EC8FBCE6-C229-4BB9-8808-9CDD3A80D4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4F30ACBA-73CA-4A56-BD55-76ABE05477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CCFD2C2-6964-4422-8704-AF0A7178A9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34275FB9-0C71-43E0-833C-1D7F9DBE7B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82DF71C-12F0-48D8-8733-B0BE026AB5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C6E6B8C-2C81-417F-B4F4-323505435D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9B23966-4491-43B2-AFA3-219DA6BFA49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CE87D51A-A3CB-456A-B4E9-9821110CC7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373D13A-1F5F-4622-873F-AF20F09A759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1F8B603-A3D2-4E7F-A27D-2C50C857A5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898AA16D-1333-44A0-8B90-3B61FC3B57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ED952E9-BEF6-42D3-AD86-1D219E0267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365ADA4-35AE-41B3-B689-1806220707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3875CF3-63F5-4BF4-BB87-1A6BA3D89B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04D9A1E0-BAD0-488C-AB68-0B9B5588BB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4E95BEC7-DA0B-4338-8D9A-BE77B65FE6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4B790A59-BAB1-4F74-B479-AE88C54576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2CD140E4-5834-4E75-88A8-25EA7D4F0C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8336DCD7-78F8-4456-815B-401B14CDE8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39090A9-9287-4D63-B4E4-EE990423F6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2F8DF326-62D8-494E-9B0A-0C3F046ACC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8E5AD81C-55B2-4526-A3E6-CA7FD7F14B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4A1F5431-9A95-450B-ACE9-991A7059D9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6DF22202-588F-4EAC-B3E5-401CB47CEC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DA9D3793-1B93-4F3D-BEDA-D654DBA788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DBBD995A-01FD-4CFF-B813-F090B9156B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69E6A5C5-B1DF-455D-99D9-8E39D69C30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198FE638-E956-401C-A37E-9AF011C0C0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32EE7B4D-1D02-4222-A72D-1E7D3FD8C1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57BFE0E2-6B23-4831-9B7D-9B62EE997E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10E3CB84-740A-4922-9532-3E9CBD061E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C4F8FE3-28B8-4A4C-BB43-10BAB74E90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0178CFB-3B91-476A-8777-9D0B8D4E26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5DBE1A28-B489-471C-AB9F-A92B69383F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1CE9A73-91A5-423F-AAA7-927FDE10D8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5CA5BC1-9B58-4B88-B6A5-A247CA0FDCA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77FD15A6-968C-427F-868A-05B7DDEDD02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5180D44F-C2DE-4042-81C9-C08F4ED8643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9795037-BA10-4EB5-922C-8945DBEBF84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F4982F98-AE84-44C8-A12E-3BBCF3DE076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1C2469B-189A-4A10-8D61-56F19D9D5AA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E424CB69-4225-4D59-A000-8117C9F0BC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DE1FBEB6-0600-4253-9822-54F1202EDA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F3ADAB1A-CD8D-4B74-B89D-E1275DE3DF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0AC1415-CA87-4704-BB98-B312B8EBB6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8498476B-6DC8-42EA-A36B-3551CEC61A7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B61629B-6BED-4D7D-AD1D-58CAD178B40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40BD4B84-39FD-4457-A3D3-6AB5607F5C2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B6449E5B-E7D0-444C-8E63-5C4D9EC33D86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9D82E074-EEB9-4270-8FDA-99FFFE6C87D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066F7686-7A10-43FE-A741-79C5C3B9CD2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FAF54E25-DF28-4675-8FF6-29A6AEDB70D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29A7689F-20F8-4F5E-8B2B-A091F59BF6B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7923C5B-7EFE-4DB0-9F61-DE31232626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9516CC93-4B41-4A94-AF4B-28F59C31E0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EF9113C-C7C9-4BE4-9B9F-706B5A0C11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CAB30D3D-AB54-44B1-9FC3-09D859EBDA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55642DB3-07EA-44E1-A76C-DD8585C300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9773DA48-44E1-43E5-BDD9-1AA2D25F68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AC8E5A34-475E-445F-9663-1713E0CFFE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50648EC-06FB-452D-A367-F097BE2D44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5A6D86E-3732-4BF7-97D8-9A374B0DCB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9280681-C195-4ED0-B75F-E9C4F8BD9C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7CD5B79-5797-4E5A-9486-90198C9FFF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5FDFF964-6C97-4A6B-A839-F78B58118B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1B4AA580-829D-47D1-9C79-CD35689930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7FF45CF5-0E53-49F4-A85C-02252459C7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3C946A7-598C-4455-AED3-00B6F2ECD3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A905F314-AE23-4475-856E-F82921E4F1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C5BFB5D4-F3D4-4EA9-84A2-6B6F799E10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0256E942-0B69-403A-B513-C6402B2180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DB340E8-305E-45BE-9C67-B5FF3F1D52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5DB965ED-1082-4996-8D0D-459AA4427F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87983C12-7BD0-4927-92A7-492ADA04E5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8AE0A62-8113-40A9-8964-E349560AEF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77ED14C-0F7D-4475-9CCB-A473D2B400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E6E4E2FF-C142-479B-85F9-D936C96AEC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B82B0E7-79A8-46EC-AE41-88B69358AD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EFC773D-4FEA-43FB-97C4-36DF402BD0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A2772836-B404-4248-A1CB-6A20E254DF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CABDF9E2-FBDB-4348-AF09-7BFD0B615C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BEEE9397-9C6F-42AD-A044-F64C5508BE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B3429DF9-A48B-4677-9AE9-14AD90CDF6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CB6E2C8F-4917-40EA-92FD-9AFD6F59ED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F7D224DD-F979-47A1-B66A-57ACE9C3F8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2208D7E-7535-48A3-9F9A-20827C3EF4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F61445F4-417C-423E-A911-E05A30B0C1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CCA01733-EA21-47E1-8D6D-B20622EC38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1183D06-E5B7-49D3-84C0-956656AAD0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8BBA4B78-670B-4B61-9A33-BDD1CAA359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DC62824-9FD4-4E6B-8554-CA95DCB24D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A7D02AD-4623-4C2D-A02F-5DEAA6BCA4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1BBE2748-40FD-4F9E-B53A-07AA6A799B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48A2360-20D6-4AC2-AE82-C1448FB2E2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7224E015-3301-4666-8158-8F136A6127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C336415-23C8-4EE0-83B6-6355477DD66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FA8968B7-C0DD-4A32-9E81-E199C906966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16ED4BD9-55A9-4DC4-BFA2-F414F2CE3C1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F1720255-2171-43AB-87C8-67213667DDB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36A4EA3-1AC3-45AC-BEBB-B483FE54EE36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7AC34273-7AAC-4D34-B123-45FC0C740C0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68D16FAA-39BE-4AE2-BD3E-58DF9B1964E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5A5E54D-17F9-4CE7-A9B6-E08BF4D4505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311FFCEE-EC79-4A93-8DDD-91BD373EDF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18B579CF-8410-440A-8B7D-2C2A1697EFC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AF46195-0874-4D48-9531-22FD005F41A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4A5DF77A-B1D5-4C08-BE64-3EEC4FEF89C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7EC95EDF-B2CC-4E0B-89FC-D75650E2229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AB229E93-F260-4212-A519-9FECEBEBED8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9BF4DA36-EFE7-4DC4-82D7-27DB837FEC9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67495A01-196E-4EDE-9430-D1D4784298D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B5DD753-E172-4E86-B5C5-999481F77DB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FECA8020-4EAD-4386-A732-8F782780B0F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B7CEFB4-9A94-49C1-8322-5C27DFC165C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7CDDBC7D-9677-4F99-91CA-82A9B875548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67C35EFF-EEE6-4FAC-91B4-B9F7FAEC308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4F75EF6-2C50-4AF4-BC67-E08683B574B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BD75DF40-E1B5-4ED5-989A-17A8DAB330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80387E5A-9673-4033-B9F3-D2ABF122A25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0E374023-F653-4F98-906F-D3133286F26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59D87C87-38AF-41CF-92CF-F49E25CEC18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13A7790-3044-4FA1-AAEE-0A5C26E34995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EFD31FD7-35F6-41DC-BDC3-55F3E40F5B4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22056716-255C-42A5-A9A1-9B1DB01D0B2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87A06F0A-2090-409C-9556-28F9C2380E9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B2077F55-FD64-4A5E-B162-2549F9A452D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E716D3D-667C-4E59-9D1A-CB684D7A5E3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482D9F5E-D8D6-444E-8DE3-7C321626FD2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FE5FE0AB-B584-442D-B132-60F70868D61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2773C145-3125-4CF0-B9C7-43F6868D2A9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F556804C-4B7D-444B-9D1A-24C8FE6584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1C6E0508-AE92-44F9-A788-09A7DEC44465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FB33D83F-F80F-46C0-84A2-F602B3725B7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3545BF7-5A48-476F-B6B5-F3F0AB3264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D478A64A-D325-449E-B976-6C7DAE36965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C8FE5391-7642-44D6-9B42-8FB08339EC8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53D6A10-E6D3-4445-972C-CCF30880839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1489AFBA-E402-45C4-9FAF-5CF5C9622C8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331369CB-0438-4BEF-B9E4-CFDB50169DF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2205FFA1-641B-4FC3-943F-295366A85F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6F7431CD-2D5C-42F8-BB35-134E32B23B0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D8C35430-C0FD-4864-92E3-CB42D5F8867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B66B90C-E858-4EB6-8B6B-E2558ADCD91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E63C0B26-0BBC-4249-8226-523D5B3BC28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89BD237E-61A6-4A5F-B6F5-9DCF9D8CFF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DB2941A2-DC2F-4CCE-B312-99814721E28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3BD214CF-06C5-444D-9029-7C968E7D3E2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DFAD0340-7313-4BA2-B0C8-5233924ED36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02E69D78-9AEA-491A-A17B-208840A9D58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9D60D64E-5CFB-4EC9-A849-9B6ADD77B07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8BD62EF3-1405-466C-A01F-1899530CE99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8AF4BA96-82BD-4E94-BFB7-C44FD35B0A0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F647134-9A33-4588-905A-44AAC55CA31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6006964B-C9A7-46B2-951C-78721EBF96E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05BED52-2EFC-4C7D-8B9E-8565A243EDD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C379139-C4DA-4727-89C1-DDEC7BB495F6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92A07CCF-CBFF-4916-A3C1-BCAF3C0111B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<sst xmlns="http://schemas.openxmlformats.org/spreadsheetml/2006/main" count="1102" uniqueCount="271">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</sst>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727170</v>
      </c>
    </row>
    <row r="8" spans="1:3" ht="15" customHeight="1" x14ac:dyDescent="0.25">
      <c r="B8" s="7" t="s">
        <v>106</v>
      </c>
      <c r="C8" s="70">
        <v>0.50900000000000001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0.14480130195617702</v>
      </c>
    </row>
    <row r="11" spans="1:3" ht="15" customHeight="1" x14ac:dyDescent="0.25">
      <c r="B11" s="7" t="s">
        <v>108</v>
      </c>
      <c r="C11" s="70">
        <v>0.78099999999999992</v>
      </c>
    </row>
    <row r="12" spans="1:3" ht="15" customHeight="1" x14ac:dyDescent="0.25">
      <c r="B12" s="7" t="s">
        <v>109</v>
      </c>
      <c r="C12" s="70">
        <v>0.50700000000000001</v>
      </c>
    </row>
    <row r="13" spans="1:3" ht="15" customHeight="1" x14ac:dyDescent="0.25">
      <c r="B13" s="7" t="s">
        <v>110</v>
      </c>
      <c r="C13" s="70">
        <v>0.628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0.1414</v>
      </c>
    </row>
    <row r="24" spans="1:3" ht="15" customHeight="1" x14ac:dyDescent="0.25">
      <c r="B24" s="20" t="s">
        <v>102</v>
      </c>
      <c r="C24" s="71">
        <v>0.44040000000000007</v>
      </c>
    </row>
    <row r="25" spans="1:3" ht="15" customHeight="1" x14ac:dyDescent="0.25">
      <c r="B25" s="20" t="s">
        <v>103</v>
      </c>
      <c r="C25" s="71">
        <v>0.33069999999999999</v>
      </c>
    </row>
    <row r="26" spans="1:3" ht="15" customHeight="1" x14ac:dyDescent="0.25">
      <c r="B26" s="20" t="s">
        <v>104</v>
      </c>
      <c r="C26" s="71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0.22800000000000001</v>
      </c>
    </row>
    <row r="30" spans="1:3" ht="14.25" customHeight="1" x14ac:dyDescent="0.25">
      <c r="B30" s="30" t="s">
        <v>76</v>
      </c>
      <c r="C30" s="73">
        <v>5.5999999999999994E-2</v>
      </c>
    </row>
    <row r="31" spans="1:3" ht="14.25" customHeight="1" x14ac:dyDescent="0.25">
      <c r="B31" s="30" t="s">
        <v>77</v>
      </c>
      <c r="C31" s="73">
        <v>0.10300000000000001</v>
      </c>
    </row>
    <row r="32" spans="1:3" ht="14.25" customHeight="1" x14ac:dyDescent="0.25">
      <c r="B32" s="30" t="s">
        <v>78</v>
      </c>
      <c r="C32" s="73">
        <v>0.61299999999999999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25.1</v>
      </c>
    </row>
    <row r="38" spans="1:5" ht="15" customHeight="1" x14ac:dyDescent="0.25">
      <c r="B38" s="16" t="s">
        <v>91</v>
      </c>
      <c r="C38" s="75">
        <v>55.9</v>
      </c>
      <c r="D38" s="17"/>
      <c r="E38" s="18"/>
    </row>
    <row r="39" spans="1:5" ht="15" customHeight="1" x14ac:dyDescent="0.25">
      <c r="B39" s="16" t="s">
        <v>90</v>
      </c>
      <c r="C39" s="75">
        <v>74.7</v>
      </c>
      <c r="D39" s="17"/>
      <c r="E39" s="17"/>
    </row>
    <row r="40" spans="1:5" ht="15" customHeight="1" x14ac:dyDescent="0.25">
      <c r="B40" s="16" t="s">
        <v>171</v>
      </c>
      <c r="C40" s="75">
        <v>7.25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0.1166</v>
      </c>
      <c r="D46" s="17"/>
    </row>
    <row r="47" spans="1:5" ht="15.75" customHeight="1" x14ac:dyDescent="0.25">
      <c r="B47" s="16" t="s">
        <v>12</v>
      </c>
      <c r="C47" s="71">
        <v>0.21969999999999998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3.2252205104500002</v>
      </c>
      <c r="D51" s="17"/>
    </row>
    <row r="52" spans="1:4" ht="15" customHeight="1" x14ac:dyDescent="0.25">
      <c r="B52" s="16" t="s">
        <v>125</v>
      </c>
      <c r="C52" s="76">
        <v>3.8883577861199998</v>
      </c>
    </row>
    <row r="53" spans="1:4" ht="15.75" customHeight="1" x14ac:dyDescent="0.25">
      <c r="B53" s="16" t="s">
        <v>126</v>
      </c>
      <c r="C53" s="76">
        <v>3.8883577861199998</v>
      </c>
    </row>
    <row r="54" spans="1:4" ht="15.75" customHeight="1" x14ac:dyDescent="0.25">
      <c r="B54" s="16" t="s">
        <v>127</v>
      </c>
      <c r="C54" s="76">
        <v>3.4915507909699999</v>
      </c>
    </row>
    <row r="55" spans="1:4" ht="15.75" customHeight="1" x14ac:dyDescent="0.25">
      <c r="B55" s="16" t="s">
        <v>128</v>
      </c>
      <c r="C55" s="76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0.4494895981763255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34.501397074255429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47.355822967277746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45.537074135700486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0.19737964912578662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1.1329576235985483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1.1329576235985483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1.1329576235985483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1.1329576235985483</v>
      </c>
      <c r="E13" s="86" t="s">
        <v>202</v>
      </c>
    </row>
    <row r="14" spans="1:5" ht="15.75" customHeight="1" x14ac:dyDescent="0.25">
      <c r="A14" s="11" t="s">
        <v>187</v>
      </c>
      <c r="B14" s="85">
        <v>0.21199999999999999</v>
      </c>
      <c r="C14" s="85">
        <v>0.95</v>
      </c>
      <c r="D14" s="86">
        <v>15.015072297772827</v>
      </c>
      <c r="E14" s="86" t="s">
        <v>202</v>
      </c>
    </row>
    <row r="15" spans="1:5" ht="15.75" customHeight="1" x14ac:dyDescent="0.25">
      <c r="A15" s="11" t="s">
        <v>209</v>
      </c>
      <c r="B15" s="85">
        <v>0.21199999999999999</v>
      </c>
      <c r="C15" s="85">
        <v>0.95</v>
      </c>
      <c r="D15" s="86">
        <v>15.015072297772827</v>
      </c>
      <c r="E15" s="86" t="s">
        <v>202</v>
      </c>
    </row>
    <row r="16" spans="1:5" ht="15.75" customHeight="1" x14ac:dyDescent="0.25">
      <c r="A16" s="52" t="s">
        <v>57</v>
      </c>
      <c r="B16" s="85">
        <v>0.54500000000000004</v>
      </c>
      <c r="C16" s="85">
        <v>0.95</v>
      </c>
      <c r="D16" s="86">
        <v>0.21765422515375002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0.13500000000000001</v>
      </c>
      <c r="C18" s="85">
        <v>0.95</v>
      </c>
      <c r="D18" s="87">
        <v>1.1608138046075143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1.1608138046075143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1.1608138046075143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1.6155396039007117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25.571599410358289</v>
      </c>
      <c r="E22" s="86" t="s">
        <v>202</v>
      </c>
    </row>
    <row r="23" spans="1:5" ht="15.75" customHeight="1" x14ac:dyDescent="0.25">
      <c r="A23" s="52" t="s">
        <v>34</v>
      </c>
      <c r="B23" s="85">
        <v>0.621</v>
      </c>
      <c r="C23" s="85">
        <v>0.95</v>
      </c>
      <c r="D23" s="86">
        <v>4.9100556870350225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21.725060175997662</v>
      </c>
      <c r="E24" s="86" t="s">
        <v>202</v>
      </c>
    </row>
    <row r="25" spans="1:5" ht="15.75" customHeight="1" x14ac:dyDescent="0.25">
      <c r="A25" s="52" t="s">
        <v>87</v>
      </c>
      <c r="B25" s="85">
        <v>0.52900000000000003</v>
      </c>
      <c r="C25" s="85">
        <v>0.95</v>
      </c>
      <c r="D25" s="86">
        <v>21.709090459529893</v>
      </c>
      <c r="E25" s="86" t="s">
        <v>202</v>
      </c>
    </row>
    <row r="26" spans="1:5" ht="15.75" customHeight="1" x14ac:dyDescent="0.25">
      <c r="A26" s="52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3.7319093780805765</v>
      </c>
      <c r="E27" s="86" t="s">
        <v>202</v>
      </c>
    </row>
    <row r="28" spans="1:5" ht="15.75" customHeight="1" x14ac:dyDescent="0.25">
      <c r="A28" s="52" t="s">
        <v>84</v>
      </c>
      <c r="B28" s="85">
        <v>0.60399999999999998</v>
      </c>
      <c r="C28" s="85">
        <v>0.95</v>
      </c>
      <c r="D28" s="86">
        <v>2.3170874537404123</v>
      </c>
      <c r="E28" s="86" t="s">
        <v>202</v>
      </c>
    </row>
    <row r="29" spans="1:5" ht="15.75" customHeight="1" x14ac:dyDescent="0.25">
      <c r="A29" s="52" t="s">
        <v>58</v>
      </c>
      <c r="B29" s="85">
        <v>0.13500000000000001</v>
      </c>
      <c r="C29" s="85">
        <v>0.95</v>
      </c>
      <c r="D29" s="86">
        <v>59.948870706228909</v>
      </c>
      <c r="E29" s="86" t="s">
        <v>202</v>
      </c>
    </row>
    <row r="30" spans="1:5" ht="15.75" customHeight="1" x14ac:dyDescent="0.25">
      <c r="A30" s="52" t="s">
        <v>67</v>
      </c>
      <c r="B30" s="85">
        <v>0.151</v>
      </c>
      <c r="C30" s="85">
        <v>0.95</v>
      </c>
      <c r="D30" s="86">
        <v>1.2819039793957059</v>
      </c>
      <c r="E30" s="86" t="s">
        <v>202</v>
      </c>
    </row>
    <row r="31" spans="1:5" ht="15.75" customHeight="1" x14ac:dyDescent="0.25">
      <c r="A31" s="52" t="s">
        <v>28</v>
      </c>
      <c r="B31" s="85">
        <v>0.92</v>
      </c>
      <c r="C31" s="85">
        <v>0.95</v>
      </c>
      <c r="D31" s="86">
        <v>0.40073342145631469</v>
      </c>
      <c r="E31" s="86" t="s">
        <v>202</v>
      </c>
    </row>
    <row r="32" spans="1:5" ht="15.75" customHeight="1" x14ac:dyDescent="0.25">
      <c r="A32" s="52" t="s">
        <v>83</v>
      </c>
      <c r="B32" s="85">
        <v>0.48700000000000004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0.317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0.16899999999999998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0.75599999999999989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2.4E-2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3.1E-2</v>
      </c>
      <c r="C37" s="85">
        <v>0.95</v>
      </c>
      <c r="D37" s="86">
        <v>7.1322114997143746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0.42615726244920232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0.13860139020000004</v>
      </c>
      <c r="C3" s="26">
        <f>frac_mam_1_5months * 2.6</f>
        <v>0.13860139020000004</v>
      </c>
      <c r="D3" s="26">
        <f>frac_mam_6_11months * 2.6</f>
        <v>0.26966945980000001</v>
      </c>
      <c r="E3" s="26">
        <f>frac_mam_12_23months * 2.6</f>
        <v>9.5102979399999996E-2</v>
      </c>
      <c r="F3" s="26">
        <f>frac_mam_24_59months * 2.6</f>
        <v>5.3456803659999996E-2</v>
      </c>
    </row>
    <row r="4" spans="1:6" ht="15.75" customHeight="1" x14ac:dyDescent="0.25">
      <c r="A4" s="3" t="s">
        <v>66</v>
      </c>
      <c r="B4" s="26">
        <f>frac_sam_1month * 2.6</f>
        <v>5.7768105200000003E-2</v>
      </c>
      <c r="C4" s="26">
        <f>frac_sam_1_5months * 2.6</f>
        <v>5.7768105200000003E-2</v>
      </c>
      <c r="D4" s="26">
        <f>frac_sam_6_11months * 2.6</f>
        <v>9.6085254199999998E-2</v>
      </c>
      <c r="E4" s="26">
        <f>frac_sam_12_23months * 2.6</f>
        <v>8.8672927200000001E-2</v>
      </c>
      <c r="F4" s="26">
        <f>frac_sam_24_59months * 2.6</f>
        <v>2.9799475940000004E-2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160581.962016</v>
      </c>
      <c r="C2" s="78">
        <v>250021</v>
      </c>
      <c r="D2" s="78">
        <v>381200</v>
      </c>
      <c r="E2" s="78">
        <v>289737</v>
      </c>
      <c r="F2" s="78">
        <v>199417</v>
      </c>
      <c r="G2" s="22">
        <f t="shared" ref="G2:G40" si="0">C2+D2+E2+F2</f>
        <v>1120375</v>
      </c>
      <c r="H2" s="22">
        <f t="shared" ref="H2:H40" si="1">(B2 + stillbirth*B2/(1000-stillbirth))/(1-abortion)</f>
        <v>188613.2922894776</v>
      </c>
      <c r="I2" s="22">
        <f>G2-H2</f>
        <v>931761.70771052246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162997.32</v>
      </c>
      <c r="C3" s="78">
        <v>258000</v>
      </c>
      <c r="D3" s="78">
        <v>392000</v>
      </c>
      <c r="E3" s="78">
        <v>298000</v>
      </c>
      <c r="F3" s="78">
        <v>207000</v>
      </c>
      <c r="G3" s="22">
        <f t="shared" si="0"/>
        <v>1155000</v>
      </c>
      <c r="H3" s="22">
        <f t="shared" si="1"/>
        <v>191450.27731382623</v>
      </c>
      <c r="I3" s="22">
        <f t="shared" ref="I3:I15" si="3">G3-H3</f>
        <v>963549.72268617374</v>
      </c>
    </row>
    <row r="4" spans="1:9" ht="15.75" customHeight="1" x14ac:dyDescent="0.25">
      <c r="A4" s="7">
        <f t="shared" si="2"/>
        <v>2019</v>
      </c>
      <c r="B4" s="77">
        <v>165389.07199999996</v>
      </c>
      <c r="C4" s="78">
        <v>266000</v>
      </c>
      <c r="D4" s="78">
        <v>404000</v>
      </c>
      <c r="E4" s="78">
        <v>305000</v>
      </c>
      <c r="F4" s="78">
        <v>213000</v>
      </c>
      <c r="G4" s="22">
        <f t="shared" si="0"/>
        <v>1188000</v>
      </c>
      <c r="H4" s="22">
        <f t="shared" si="1"/>
        <v>194259.53567258877</v>
      </c>
      <c r="I4" s="22">
        <f t="shared" si="3"/>
        <v>993740.46432741126</v>
      </c>
    </row>
    <row r="5" spans="1:9" ht="15.75" customHeight="1" x14ac:dyDescent="0.25">
      <c r="A5" s="7">
        <f t="shared" si="2"/>
        <v>2020</v>
      </c>
      <c r="B5" s="77">
        <v>167758.272</v>
      </c>
      <c r="C5" s="78">
        <v>273000</v>
      </c>
      <c r="D5" s="78">
        <v>418000</v>
      </c>
      <c r="E5" s="78">
        <v>312000</v>
      </c>
      <c r="F5" s="78">
        <v>221000</v>
      </c>
      <c r="G5" s="22">
        <f t="shared" si="0"/>
        <v>1224000</v>
      </c>
      <c r="H5" s="22">
        <f t="shared" si="1"/>
        <v>197042.30533415082</v>
      </c>
      <c r="I5" s="22">
        <f t="shared" si="3"/>
        <v>1026957.6946658492</v>
      </c>
    </row>
    <row r="6" spans="1:9" ht="15.75" customHeight="1" x14ac:dyDescent="0.25">
      <c r="A6" s="7">
        <f t="shared" si="2"/>
        <v>2021</v>
      </c>
      <c r="B6" s="77">
        <v>170206.37760000004</v>
      </c>
      <c r="C6" s="78">
        <v>280000</v>
      </c>
      <c r="D6" s="78">
        <v>432000</v>
      </c>
      <c r="E6" s="78">
        <v>318000</v>
      </c>
      <c r="F6" s="78">
        <v>229000</v>
      </c>
      <c r="G6" s="22">
        <f t="shared" si="0"/>
        <v>1259000</v>
      </c>
      <c r="H6" s="22">
        <f t="shared" si="1"/>
        <v>199917.75442750732</v>
      </c>
      <c r="I6" s="22">
        <f t="shared" si="3"/>
        <v>1059082.2455724927</v>
      </c>
    </row>
    <row r="7" spans="1:9" ht="15.75" customHeight="1" x14ac:dyDescent="0.25">
      <c r="A7" s="7">
        <f t="shared" si="2"/>
        <v>2022</v>
      </c>
      <c r="B7" s="77">
        <v>172665.00280000005</v>
      </c>
      <c r="C7" s="78">
        <v>286000</v>
      </c>
      <c r="D7" s="78">
        <v>447000</v>
      </c>
      <c r="E7" s="78">
        <v>325000</v>
      </c>
      <c r="F7" s="78">
        <v>237000</v>
      </c>
      <c r="G7" s="22">
        <f t="shared" si="0"/>
        <v>1295000</v>
      </c>
      <c r="H7" s="22">
        <f t="shared" si="1"/>
        <v>202805.55943160655</v>
      </c>
      <c r="I7" s="22">
        <f t="shared" si="3"/>
        <v>1092194.4405683936</v>
      </c>
    </row>
    <row r="8" spans="1:9" ht="15.75" customHeight="1" x14ac:dyDescent="0.25">
      <c r="A8" s="7">
        <f t="shared" si="2"/>
        <v>2023</v>
      </c>
      <c r="B8" s="77">
        <v>175099.26240000004</v>
      </c>
      <c r="C8" s="78">
        <v>292000</v>
      </c>
      <c r="D8" s="78">
        <v>463000</v>
      </c>
      <c r="E8" s="78">
        <v>332000</v>
      </c>
      <c r="F8" s="78">
        <v>244000</v>
      </c>
      <c r="G8" s="22">
        <f t="shared" si="0"/>
        <v>1331000</v>
      </c>
      <c r="H8" s="22">
        <f t="shared" si="1"/>
        <v>205664.74555487436</v>
      </c>
      <c r="I8" s="22">
        <f t="shared" si="3"/>
        <v>1125335.2544451256</v>
      </c>
    </row>
    <row r="9" spans="1:9" ht="15.75" customHeight="1" x14ac:dyDescent="0.25">
      <c r="A9" s="7">
        <f t="shared" si="2"/>
        <v>2024</v>
      </c>
      <c r="B9" s="77">
        <v>177538.6624</v>
      </c>
      <c r="C9" s="78">
        <v>298000</v>
      </c>
      <c r="D9" s="78">
        <v>480000</v>
      </c>
      <c r="E9" s="78">
        <v>340000</v>
      </c>
      <c r="F9" s="78">
        <v>252000</v>
      </c>
      <c r="G9" s="22">
        <f t="shared" si="0"/>
        <v>1370000</v>
      </c>
      <c r="H9" s="22">
        <f t="shared" si="1"/>
        <v>208529.96939094318</v>
      </c>
      <c r="I9" s="22">
        <f t="shared" si="3"/>
        <v>1161470.0306090568</v>
      </c>
    </row>
    <row r="10" spans="1:9" ht="15.75" customHeight="1" x14ac:dyDescent="0.25">
      <c r="A10" s="7">
        <f t="shared" si="2"/>
        <v>2025</v>
      </c>
      <c r="B10" s="77">
        <v>179948.99</v>
      </c>
      <c r="C10" s="78">
        <v>304000</v>
      </c>
      <c r="D10" s="78">
        <v>495000</v>
      </c>
      <c r="E10" s="78">
        <v>348000</v>
      </c>
      <c r="F10" s="78">
        <v>260000</v>
      </c>
      <c r="G10" s="22">
        <f t="shared" si="0"/>
        <v>1407000</v>
      </c>
      <c r="H10" s="22">
        <f t="shared" si="1"/>
        <v>211361.04592298169</v>
      </c>
      <c r="I10" s="22">
        <f t="shared" si="3"/>
        <v>1195638.9540770184</v>
      </c>
    </row>
    <row r="11" spans="1:9" ht="15.75" customHeight="1" x14ac:dyDescent="0.25">
      <c r="A11" s="7">
        <f t="shared" si="2"/>
        <v>2026</v>
      </c>
      <c r="B11" s="77">
        <v>182367.3542</v>
      </c>
      <c r="C11" s="78">
        <v>309000</v>
      </c>
      <c r="D11" s="78">
        <v>510000</v>
      </c>
      <c r="E11" s="78">
        <v>357000</v>
      </c>
      <c r="F11" s="78">
        <v>268000</v>
      </c>
      <c r="G11" s="22">
        <f t="shared" si="0"/>
        <v>1444000</v>
      </c>
      <c r="H11" s="22">
        <f t="shared" si="1"/>
        <v>214201.56193107206</v>
      </c>
      <c r="I11" s="22">
        <f t="shared" si="3"/>
        <v>1229798.438068928</v>
      </c>
    </row>
    <row r="12" spans="1:9" ht="15.75" customHeight="1" x14ac:dyDescent="0.25">
      <c r="A12" s="7">
        <f t="shared" si="2"/>
        <v>2027</v>
      </c>
      <c r="B12" s="77">
        <v>184752.33960000001</v>
      </c>
      <c r="C12" s="78">
        <v>314000</v>
      </c>
      <c r="D12" s="78">
        <v>525000</v>
      </c>
      <c r="E12" s="78">
        <v>367000</v>
      </c>
      <c r="F12" s="78">
        <v>277000</v>
      </c>
      <c r="G12" s="22">
        <f t="shared" si="0"/>
        <v>1483000</v>
      </c>
      <c r="H12" s="22">
        <f t="shared" si="1"/>
        <v>217002.87250611361</v>
      </c>
      <c r="I12" s="22">
        <f t="shared" si="3"/>
        <v>1265997.1274938863</v>
      </c>
    </row>
    <row r="13" spans="1:9" ht="15.75" customHeight="1" x14ac:dyDescent="0.25">
      <c r="A13" s="7">
        <f t="shared" si="2"/>
        <v>2028</v>
      </c>
      <c r="B13" s="77">
        <v>187101.93739999997</v>
      </c>
      <c r="C13" s="78">
        <v>319000</v>
      </c>
      <c r="D13" s="78">
        <v>540000</v>
      </c>
      <c r="E13" s="78">
        <v>378000</v>
      </c>
      <c r="F13" s="78">
        <v>284000</v>
      </c>
      <c r="G13" s="22">
        <f t="shared" si="0"/>
        <v>1521000</v>
      </c>
      <c r="H13" s="22">
        <f t="shared" si="1"/>
        <v>219762.61819018956</v>
      </c>
      <c r="I13" s="22">
        <f t="shared" si="3"/>
        <v>1301237.3818098104</v>
      </c>
    </row>
    <row r="14" spans="1:9" ht="15.75" customHeight="1" x14ac:dyDescent="0.25">
      <c r="A14" s="7">
        <f t="shared" si="2"/>
        <v>2029</v>
      </c>
      <c r="B14" s="77">
        <v>189414.13879999999</v>
      </c>
      <c r="C14" s="78">
        <v>325000</v>
      </c>
      <c r="D14" s="78">
        <v>552000</v>
      </c>
      <c r="E14" s="78">
        <v>391000</v>
      </c>
      <c r="F14" s="78">
        <v>292000</v>
      </c>
      <c r="G14" s="22">
        <f t="shared" si="0"/>
        <v>1560000</v>
      </c>
      <c r="H14" s="22">
        <f t="shared" si="1"/>
        <v>222478.43952538341</v>
      </c>
      <c r="I14" s="22">
        <f t="shared" si="3"/>
        <v>1337521.5604746165</v>
      </c>
    </row>
    <row r="15" spans="1:9" ht="15.75" customHeight="1" x14ac:dyDescent="0.25">
      <c r="A15" s="7">
        <f t="shared" si="2"/>
        <v>2030</v>
      </c>
      <c r="B15" s="77">
        <v>191686.935</v>
      </c>
      <c r="C15" s="78">
        <v>330000</v>
      </c>
      <c r="D15" s="78">
        <v>566000</v>
      </c>
      <c r="E15" s="78">
        <v>405000</v>
      </c>
      <c r="F15" s="78">
        <v>299000</v>
      </c>
      <c r="G15" s="22">
        <f t="shared" si="0"/>
        <v>1600000</v>
      </c>
      <c r="H15" s="22">
        <f t="shared" si="1"/>
        <v>225147.97705377842</v>
      </c>
      <c r="I15" s="22">
        <f t="shared" si="3"/>
        <v>1374852.0229462215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129.20169794522317</v>
      </c>
      <c r="I17" s="22">
        <f t="shared" si="4"/>
        <v>-129.20169794522317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5.6962445249999993E-2</v>
      </c>
    </row>
    <row r="4" spans="1:8" ht="15.75" customHeight="1" x14ac:dyDescent="0.25">
      <c r="B4" s="24" t="s">
        <v>7</v>
      </c>
      <c r="C4" s="79">
        <v>0.17981570832398744</v>
      </c>
    </row>
    <row r="5" spans="1:8" ht="15.75" customHeight="1" x14ac:dyDescent="0.25">
      <c r="B5" s="24" t="s">
        <v>8</v>
      </c>
      <c r="C5" s="79">
        <v>8.9580493708815101E-2</v>
      </c>
    </row>
    <row r="6" spans="1:8" ht="15.75" customHeight="1" x14ac:dyDescent="0.25">
      <c r="B6" s="24" t="s">
        <v>10</v>
      </c>
      <c r="C6" s="79">
        <v>0.13661405949195063</v>
      </c>
    </row>
    <row r="7" spans="1:8" ht="15.75" customHeight="1" x14ac:dyDescent="0.25">
      <c r="B7" s="24" t="s">
        <v>13</v>
      </c>
      <c r="C7" s="79">
        <v>0.14513937667535778</v>
      </c>
    </row>
    <row r="8" spans="1:8" ht="15.75" customHeight="1" x14ac:dyDescent="0.25">
      <c r="B8" s="24" t="s">
        <v>14</v>
      </c>
      <c r="C8" s="79">
        <v>5.2379295925648875E-3</v>
      </c>
    </row>
    <row r="9" spans="1:8" ht="15.75" customHeight="1" x14ac:dyDescent="0.25">
      <c r="B9" s="24" t="s">
        <v>27</v>
      </c>
      <c r="C9" s="79">
        <v>6.8159146012332694E-2</v>
      </c>
    </row>
    <row r="10" spans="1:8" ht="15.75" customHeight="1" x14ac:dyDescent="0.25">
      <c r="B10" s="24" t="s">
        <v>15</v>
      </c>
      <c r="C10" s="79">
        <v>0.31849084094499158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0.17569163586101097</v>
      </c>
      <c r="D14" s="79">
        <v>0.17569163586101097</v>
      </c>
      <c r="E14" s="79">
        <v>0.14904897674179199</v>
      </c>
      <c r="F14" s="79">
        <v>0.14904897674179199</v>
      </c>
    </row>
    <row r="15" spans="1:8" ht="15.75" customHeight="1" x14ac:dyDescent="0.25">
      <c r="B15" s="24" t="s">
        <v>16</v>
      </c>
      <c r="C15" s="79">
        <v>0.150999100644298</v>
      </c>
      <c r="D15" s="79">
        <v>0.150999100644298</v>
      </c>
      <c r="E15" s="79">
        <v>9.12907893821647E-2</v>
      </c>
      <c r="F15" s="79">
        <v>9.12907893821647E-2</v>
      </c>
    </row>
    <row r="16" spans="1:8" ht="15.75" customHeight="1" x14ac:dyDescent="0.25">
      <c r="B16" s="24" t="s">
        <v>17</v>
      </c>
      <c r="C16" s="79">
        <v>4.3759373754163902E-2</v>
      </c>
      <c r="D16" s="79">
        <v>4.3759373754163902E-2</v>
      </c>
      <c r="E16" s="79">
        <v>3.3312669415273E-2</v>
      </c>
      <c r="F16" s="79">
        <v>3.3312669415273E-2</v>
      </c>
    </row>
    <row r="17" spans="1:8" ht="15.75" customHeight="1" x14ac:dyDescent="0.25">
      <c r="B17" s="24" t="s">
        <v>18</v>
      </c>
      <c r="C17" s="79">
        <v>5.331227417079179E-2</v>
      </c>
      <c r="D17" s="79">
        <v>5.331227417079179E-2</v>
      </c>
      <c r="E17" s="79">
        <v>0.12925728619627599</v>
      </c>
      <c r="F17" s="79">
        <v>0.12925728619627599</v>
      </c>
    </row>
    <row r="18" spans="1:8" ht="15.75" customHeight="1" x14ac:dyDescent="0.25">
      <c r="B18" s="24" t="s">
        <v>19</v>
      </c>
      <c r="C18" s="79">
        <v>0.15363531720801499</v>
      </c>
      <c r="D18" s="79">
        <v>0.15363531720801499</v>
      </c>
      <c r="E18" s="79">
        <v>0.20720231095240901</v>
      </c>
      <c r="F18" s="79">
        <v>0.20720231095240901</v>
      </c>
    </row>
    <row r="19" spans="1:8" ht="15.75" customHeight="1" x14ac:dyDescent="0.25">
      <c r="B19" s="24" t="s">
        <v>20</v>
      </c>
      <c r="C19" s="79">
        <v>5.3091986998029903E-2</v>
      </c>
      <c r="D19" s="79">
        <v>5.3091986998029903E-2</v>
      </c>
      <c r="E19" s="79">
        <v>5.5452874702400304E-2</v>
      </c>
      <c r="F19" s="79">
        <v>5.5452874702400304E-2</v>
      </c>
    </row>
    <row r="20" spans="1:8" ht="15.75" customHeight="1" x14ac:dyDescent="0.25">
      <c r="B20" s="24" t="s">
        <v>21</v>
      </c>
      <c r="C20" s="79">
        <v>1.7589595685136499E-2</v>
      </c>
      <c r="D20" s="79">
        <v>1.7589595685136499E-2</v>
      </c>
      <c r="E20" s="79">
        <v>9.3795761661273E-3</v>
      </c>
      <c r="F20" s="79">
        <v>9.3795761661273E-3</v>
      </c>
    </row>
    <row r="21" spans="1:8" ht="15.75" customHeight="1" x14ac:dyDescent="0.25">
      <c r="B21" s="24" t="s">
        <v>22</v>
      </c>
      <c r="C21" s="79">
        <v>2.6595050696729801E-2</v>
      </c>
      <c r="D21" s="79">
        <v>2.6595050696729801E-2</v>
      </c>
      <c r="E21" s="79">
        <v>5.895689593130729E-2</v>
      </c>
      <c r="F21" s="79">
        <v>5.895689593130729E-2</v>
      </c>
    </row>
    <row r="22" spans="1:8" ht="15.75" customHeight="1" x14ac:dyDescent="0.25">
      <c r="B22" s="24" t="s">
        <v>23</v>
      </c>
      <c r="C22" s="79">
        <v>0.32532566498182414</v>
      </c>
      <c r="D22" s="79">
        <v>0.32532566498182414</v>
      </c>
      <c r="E22" s="79">
        <v>0.26609862051225042</v>
      </c>
      <c r="F22" s="79">
        <v>0.26609862051225042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8.7599999999999997E-2</v>
      </c>
    </row>
    <row r="27" spans="1:8" ht="15.75" customHeight="1" x14ac:dyDescent="0.25">
      <c r="B27" s="24" t="s">
        <v>39</v>
      </c>
      <c r="C27" s="79">
        <v>8.6999999999999994E-3</v>
      </c>
    </row>
    <row r="28" spans="1:8" ht="15.75" customHeight="1" x14ac:dyDescent="0.25">
      <c r="B28" s="24" t="s">
        <v>40</v>
      </c>
      <c r="C28" s="79">
        <v>0.15439999999999998</v>
      </c>
    </row>
    <row r="29" spans="1:8" ht="15.75" customHeight="1" x14ac:dyDescent="0.25">
      <c r="B29" s="24" t="s">
        <v>41</v>
      </c>
      <c r="C29" s="79">
        <v>0.1678</v>
      </c>
    </row>
    <row r="30" spans="1:8" ht="15.75" customHeight="1" x14ac:dyDescent="0.25">
      <c r="B30" s="24" t="s">
        <v>42</v>
      </c>
      <c r="C30" s="79">
        <v>0.10580000000000001</v>
      </c>
    </row>
    <row r="31" spans="1:8" ht="15.75" customHeight="1" x14ac:dyDescent="0.25">
      <c r="B31" s="24" t="s">
        <v>43</v>
      </c>
      <c r="C31" s="79">
        <v>0.10970000000000001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8.3800000000000013E-2</v>
      </c>
    </row>
    <row r="34" spans="2:3" ht="15.75" customHeight="1" x14ac:dyDescent="0.25">
      <c r="B34" s="24" t="s">
        <v>46</v>
      </c>
      <c r="C34" s="79">
        <v>0.2636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0.68840448143369215</v>
      </c>
      <c r="D2" s="80">
        <v>0.68840448143369215</v>
      </c>
      <c r="E2" s="80">
        <v>0.61405061637013658</v>
      </c>
      <c r="F2" s="80">
        <v>0.42779148316617055</v>
      </c>
      <c r="G2" s="80">
        <v>0.3158697735159442</v>
      </c>
    </row>
    <row r="3" spans="1:15" ht="15.75" customHeight="1" x14ac:dyDescent="0.25">
      <c r="A3" s="5"/>
      <c r="B3" s="11" t="s">
        <v>118</v>
      </c>
      <c r="C3" s="80">
        <v>0.22480552731869483</v>
      </c>
      <c r="D3" s="80">
        <v>0.22480552731869483</v>
      </c>
      <c r="E3" s="80">
        <v>0.1970535203262351</v>
      </c>
      <c r="F3" s="80">
        <v>0.26997513554802416</v>
      </c>
      <c r="G3" s="80">
        <v>0.2961279126711977</v>
      </c>
    </row>
    <row r="4" spans="1:15" ht="15.75" customHeight="1" x14ac:dyDescent="0.25">
      <c r="A4" s="5"/>
      <c r="B4" s="11" t="s">
        <v>116</v>
      </c>
      <c r="C4" s="81">
        <v>7.351622788033102E-2</v>
      </c>
      <c r="D4" s="81">
        <v>7.351622788033102E-2</v>
      </c>
      <c r="E4" s="81">
        <v>0.12763234007001911</v>
      </c>
      <c r="F4" s="81">
        <v>0.19502221562698921</v>
      </c>
      <c r="G4" s="81">
        <v>0.22769609468491414</v>
      </c>
    </row>
    <row r="5" spans="1:15" ht="15.75" customHeight="1" x14ac:dyDescent="0.25">
      <c r="A5" s="5"/>
      <c r="B5" s="11" t="s">
        <v>119</v>
      </c>
      <c r="C5" s="81">
        <v>1.327376336728199E-2</v>
      </c>
      <c r="D5" s="81">
        <v>1.327376336728199E-2</v>
      </c>
      <c r="E5" s="81">
        <v>6.1263523233609181E-2</v>
      </c>
      <c r="F5" s="81">
        <v>0.10721116565881605</v>
      </c>
      <c r="G5" s="81">
        <v>0.16030621912794402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0.78278015443729898</v>
      </c>
      <c r="D8" s="80">
        <v>0.78278015443729898</v>
      </c>
      <c r="E8" s="80">
        <v>0.60705539934502917</v>
      </c>
      <c r="F8" s="80">
        <v>0.66555042938283815</v>
      </c>
      <c r="G8" s="80">
        <v>0.84198117155785135</v>
      </c>
    </row>
    <row r="9" spans="1:15" ht="15.75" customHeight="1" x14ac:dyDescent="0.25">
      <c r="B9" s="7" t="s">
        <v>121</v>
      </c>
      <c r="C9" s="80">
        <v>0.14169311656270098</v>
      </c>
      <c r="D9" s="80">
        <v>0.14169311656270098</v>
      </c>
      <c r="E9" s="80">
        <v>0.25226971065497078</v>
      </c>
      <c r="F9" s="80">
        <v>0.26376652961716174</v>
      </c>
      <c r="G9" s="80">
        <v>0.12599718244214878</v>
      </c>
    </row>
    <row r="10" spans="1:15" ht="15.75" customHeight="1" x14ac:dyDescent="0.25">
      <c r="B10" s="7" t="s">
        <v>122</v>
      </c>
      <c r="C10" s="81">
        <v>5.3308227000000007E-2</v>
      </c>
      <c r="D10" s="81">
        <v>5.3308227000000007E-2</v>
      </c>
      <c r="E10" s="81">
        <v>0.10371902300000001</v>
      </c>
      <c r="F10" s="81">
        <v>3.6578068999999998E-2</v>
      </c>
      <c r="G10" s="81">
        <v>2.0560309099999997E-2</v>
      </c>
    </row>
    <row r="11" spans="1:15" ht="15.75" customHeight="1" x14ac:dyDescent="0.25">
      <c r="B11" s="7" t="s">
        <v>123</v>
      </c>
      <c r="C11" s="81">
        <v>2.2218502000000001E-2</v>
      </c>
      <c r="D11" s="81">
        <v>2.2218502000000001E-2</v>
      </c>
      <c r="E11" s="81">
        <v>3.6955866999999996E-2</v>
      </c>
      <c r="F11" s="81">
        <v>3.4104971999999997E-2</v>
      </c>
      <c r="G11" s="81">
        <v>1.1461336900000001E-2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0.82655271499999994</v>
      </c>
      <c r="D14" s="82">
        <v>0.80329964035300006</v>
      </c>
      <c r="E14" s="82">
        <v>0.80329964035300006</v>
      </c>
      <c r="F14" s="82">
        <v>0.753420550957</v>
      </c>
      <c r="G14" s="82">
        <v>0.753420550957</v>
      </c>
      <c r="H14" s="83">
        <v>0.377</v>
      </c>
      <c r="I14" s="83">
        <v>0.377</v>
      </c>
      <c r="J14" s="83">
        <v>0.377</v>
      </c>
      <c r="K14" s="83">
        <v>0.377</v>
      </c>
      <c r="L14" s="83">
        <v>0.48369444718999999</v>
      </c>
      <c r="M14" s="83">
        <v>0.49229310889199995</v>
      </c>
      <c r="N14" s="83">
        <v>0.41209047805250004</v>
      </c>
      <c r="O14" s="83">
        <v>0.45906306360799998</v>
      </c>
    </row>
    <row r="15" spans="1:15" ht="15.75" customHeight="1" x14ac:dyDescent="0.25">
      <c r="B15" s="16" t="s">
        <v>68</v>
      </c>
      <c r="C15" s="80">
        <f>iron_deficiency_anaemia*C14</f>
        <v>0.37152684773690087</v>
      </c>
      <c r="D15" s="80">
        <f t="shared" ref="D15:O15" si="0">iron_deficiency_anaemia*D14</f>
        <v>0.36107483255745676</v>
      </c>
      <c r="E15" s="80">
        <f t="shared" si="0"/>
        <v>0.36107483255745676</v>
      </c>
      <c r="F15" s="80">
        <f t="shared" si="0"/>
        <v>0.33865470070744769</v>
      </c>
      <c r="G15" s="80">
        <f t="shared" si="0"/>
        <v>0.33865470070744769</v>
      </c>
      <c r="H15" s="80">
        <f t="shared" si="0"/>
        <v>0.16945757851247473</v>
      </c>
      <c r="I15" s="80">
        <f t="shared" si="0"/>
        <v>0.16945757851247473</v>
      </c>
      <c r="J15" s="80">
        <f t="shared" si="0"/>
        <v>0.16945757851247473</v>
      </c>
      <c r="K15" s="80">
        <f t="shared" si="0"/>
        <v>0.16945757851247473</v>
      </c>
      <c r="L15" s="80">
        <f t="shared" si="0"/>
        <v>0.21741562270755299</v>
      </c>
      <c r="M15" s="80">
        <f t="shared" si="0"/>
        <v>0.22128063170083911</v>
      </c>
      <c r="N15" s="80">
        <f t="shared" si="0"/>
        <v>0.18523038339210812</v>
      </c>
      <c r="O15" s="80">
        <f t="shared" si="0"/>
        <v>0.20634407199875288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0.76400000000000001</v>
      </c>
      <c r="D2" s="81">
        <v>0.52700000000000002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0.185</v>
      </c>
      <c r="D3" s="81">
        <v>0.32299999999999995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4.2999999999999997E-2</v>
      </c>
      <c r="D4" s="81">
        <v>0.13400000000000001</v>
      </c>
      <c r="E4" s="81">
        <v>0.96700000000000008</v>
      </c>
      <c r="F4" s="81">
        <v>0.69499999999999995</v>
      </c>
      <c r="G4" s="81">
        <v>0</v>
      </c>
    </row>
    <row r="5" spans="1:7" x14ac:dyDescent="0.25">
      <c r="B5" s="43" t="s">
        <v>169</v>
      </c>
      <c r="C5" s="80">
        <f>1-SUM(C2:C4)</f>
        <v>7.9999999999998961E-3</v>
      </c>
      <c r="D5" s="80">
        <f>1-SUM(D2:D4)</f>
        <v>1.6000000000000014E-2</v>
      </c>
      <c r="E5" s="80">
        <f>1-SUM(E2:E4)</f>
        <v>3.2999999999999918E-2</v>
      </c>
      <c r="F5" s="80">
        <f>1-SUM(F2:F4)</f>
        <v>0.30500000000000005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0.33662999999999998</v>
      </c>
      <c r="D2" s="144">
        <v>0.32728999999999997</v>
      </c>
      <c r="E2" s="144">
        <v>0.31806999999999996</v>
      </c>
      <c r="F2" s="144">
        <v>0.30896999999999997</v>
      </c>
      <c r="G2" s="144">
        <v>0.29992000000000002</v>
      </c>
      <c r="H2" s="144">
        <v>0.29111999999999999</v>
      </c>
      <c r="I2" s="144">
        <v>0.28254000000000001</v>
      </c>
      <c r="J2" s="144">
        <v>0.27417999999999998</v>
      </c>
      <c r="K2" s="144">
        <v>0.26604</v>
      </c>
      <c r="L2" s="144">
        <v>0.25812000000000002</v>
      </c>
      <c r="M2" s="144">
        <v>0.25042000000000003</v>
      </c>
      <c r="N2" s="144">
        <v>0.24294000000000002</v>
      </c>
      <c r="O2" s="144">
        <v>0.23566999999999999</v>
      </c>
      <c r="P2" s="144">
        <v>0.22861999999999999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5.2720000000000003E-2</v>
      </c>
      <c r="D4" s="144">
        <v>5.1909999999999998E-2</v>
      </c>
      <c r="E4" s="144">
        <v>5.1130000000000002E-2</v>
      </c>
      <c r="F4" s="144">
        <v>5.0389999999999997E-2</v>
      </c>
      <c r="G4" s="144">
        <v>4.9710000000000004E-2</v>
      </c>
      <c r="H4" s="144">
        <v>4.9029999999999997E-2</v>
      </c>
      <c r="I4" s="144">
        <v>4.8369999999999996E-2</v>
      </c>
      <c r="J4" s="144">
        <v>4.7720000000000005E-2</v>
      </c>
      <c r="K4" s="144">
        <v>4.7089999999999993E-2</v>
      </c>
      <c r="L4" s="144">
        <v>4.6479999999999994E-2</v>
      </c>
      <c r="M4" s="144">
        <v>4.5880000000000004E-2</v>
      </c>
      <c r="N4" s="144">
        <v>4.5289999999999997E-2</v>
      </c>
      <c r="O4" s="144">
        <v>4.4729999999999999E-2</v>
      </c>
      <c r="P4" s="144">
        <v>4.4180000000000004E-2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0.34331292733044022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0.16945757851247473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0.20616082812727901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0.5665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0.78566666666666674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74.795000000000002</v>
      </c>
      <c r="D13" s="143">
        <v>71.522000000000006</v>
      </c>
      <c r="E13" s="143">
        <v>68.372</v>
      </c>
      <c r="F13" s="143">
        <v>65.548000000000002</v>
      </c>
      <c r="G13" s="143">
        <v>62.795999999999999</v>
      </c>
      <c r="H13" s="143">
        <v>60.256999999999998</v>
      </c>
      <c r="I13" s="143">
        <v>57.856000000000002</v>
      </c>
      <c r="J13" s="143">
        <v>55.567999999999998</v>
      </c>
      <c r="K13" s="143">
        <v>53.459000000000003</v>
      </c>
      <c r="L13" s="143">
        <v>51.408999999999999</v>
      </c>
      <c r="M13" s="143">
        <v>49.936999999999998</v>
      </c>
      <c r="N13" s="143">
        <v>47.73</v>
      </c>
      <c r="O13" s="143">
        <v>46.216999999999999</v>
      </c>
      <c r="P13" s="143">
        <v>44.798000000000002</v>
      </c>
    </row>
    <row r="14" spans="1:16" x14ac:dyDescent="0.25">
      <c r="B14" s="16" t="s">
        <v>170</v>
      </c>
      <c r="C14" s="143">
        <f>maternal_mortality</f>
        <v>7.25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0.50900000000000001</v>
      </c>
      <c r="E2" s="92">
        <f>food_insecure</f>
        <v>0.50900000000000001</v>
      </c>
      <c r="F2" s="92">
        <f>food_insecure</f>
        <v>0.50900000000000001</v>
      </c>
      <c r="G2" s="92">
        <f>food_insecure</f>
        <v>0.50900000000000001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0.50900000000000001</v>
      </c>
      <c r="F5" s="92">
        <f>food_insecure</f>
        <v>0.50900000000000001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0.12404694270961539</v>
      </c>
      <c r="D7" s="92">
        <f>diarrhoea_1_5mo/26</f>
        <v>0.14955222254307693</v>
      </c>
      <c r="E7" s="92">
        <f>diarrhoea_6_11mo/26</f>
        <v>0.14955222254307693</v>
      </c>
      <c r="F7" s="92">
        <f>diarrhoea_12_23mo/26</f>
        <v>0.13429041503730768</v>
      </c>
      <c r="G7" s="92">
        <f>diarrhoea_24_59mo/26</f>
        <v>0.13429041503730768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0.50900000000000001</v>
      </c>
      <c r="F8" s="92">
        <f>food_insecure</f>
        <v>0.50900000000000001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0.50700000000000001</v>
      </c>
      <c r="E9" s="92">
        <f>IF(ISBLANK(comm_deliv), frac_children_health_facility,1)</f>
        <v>0.50700000000000001</v>
      </c>
      <c r="F9" s="92">
        <f>IF(ISBLANK(comm_deliv), frac_children_health_facility,1)</f>
        <v>0.50700000000000001</v>
      </c>
      <c r="G9" s="92">
        <f>IF(ISBLANK(comm_deliv), frac_children_health_facility,1)</f>
        <v>0.50700000000000001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0.12404694270961539</v>
      </c>
      <c r="D11" s="92">
        <f>diarrhoea_1_5mo/26</f>
        <v>0.14955222254307693</v>
      </c>
      <c r="E11" s="92">
        <f>diarrhoea_6_11mo/26</f>
        <v>0.14955222254307693</v>
      </c>
      <c r="F11" s="92">
        <f>diarrhoea_12_23mo/26</f>
        <v>0.13429041503730768</v>
      </c>
      <c r="G11" s="92">
        <f>diarrhoea_24_59mo/26</f>
        <v>0.13429041503730768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0.50900000000000001</v>
      </c>
      <c r="I14" s="92">
        <f>food_insecure</f>
        <v>0.50900000000000001</v>
      </c>
      <c r="J14" s="92">
        <f>food_insecure</f>
        <v>0.50900000000000001</v>
      </c>
      <c r="K14" s="92">
        <f>food_insecure</f>
        <v>0.50900000000000001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0.78099999999999992</v>
      </c>
      <c r="I17" s="92">
        <f>frac_PW_health_facility</f>
        <v>0.78099999999999992</v>
      </c>
      <c r="J17" s="92">
        <f>frac_PW_health_facility</f>
        <v>0.78099999999999992</v>
      </c>
      <c r="K17" s="92">
        <f>frac_PW_health_facility</f>
        <v>0.78099999999999992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0.628</v>
      </c>
      <c r="M23" s="92">
        <f>famplan_unmet_need</f>
        <v>0.628</v>
      </c>
      <c r="N23" s="92">
        <f>famplan_unmet_need</f>
        <v>0.628</v>
      </c>
      <c r="O23" s="92">
        <f>famplan_unmet_need</f>
        <v>0.628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0.51045955087537753</v>
      </c>
      <c r="M24" s="92">
        <f>(1-food_insecure)*(0.49)+food_insecure*(0.7)</f>
        <v>0.59689000000000003</v>
      </c>
      <c r="N24" s="92">
        <f>(1-food_insecure)*(0.49)+food_insecure*(0.7)</f>
        <v>0.59689000000000003</v>
      </c>
      <c r="O24" s="92">
        <f>(1-food_insecure)*(0.49)+food_insecure*(0.7)</f>
        <v>0.59689000000000003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0.21876837894659035</v>
      </c>
      <c r="M25" s="92">
        <f>(1-food_insecure)*(0.21)+food_insecure*(0.3)</f>
        <v>0.25580999999999998</v>
      </c>
      <c r="N25" s="92">
        <f>(1-food_insecure)*(0.21)+food_insecure*(0.3)</f>
        <v>0.25580999999999998</v>
      </c>
      <c r="O25" s="92">
        <f>(1-food_insecure)*(0.21)+food_insecure*(0.3)</f>
        <v>0.25580999999999998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0.1259707682218551</v>
      </c>
      <c r="M26" s="92">
        <f>(1-food_insecure)*(0.3)</f>
        <v>0.14729999999999999</v>
      </c>
      <c r="N26" s="92">
        <f>(1-food_insecure)*(0.3)</f>
        <v>0.14729999999999999</v>
      </c>
      <c r="O26" s="92">
        <f>(1-food_insecure)*(0.3)</f>
        <v>0.14729999999999999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0.14480130195617702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2020-03-24T06:49:42Z</dcterms:modified>
</cp:coreProperties>
</file>