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209ACC1-B5D8-4073-A367-98359DD63622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I17" i="2" s="1"/>
  <c r="G18" i="2"/>
  <c r="H18" i="2"/>
  <c r="I18" i="2" s="1"/>
  <c r="G19" i="2"/>
  <c r="H19" i="2"/>
  <c r="I19" i="2" s="1"/>
  <c r="G20" i="2"/>
  <c r="H20" i="2"/>
  <c r="I20" i="2" s="1"/>
  <c r="G21" i="2"/>
  <c r="H21" i="2"/>
  <c r="I21" i="2"/>
  <c r="G22" i="2"/>
  <c r="H22" i="2"/>
  <c r="I22" i="2" s="1"/>
  <c r="G23" i="2"/>
  <c r="H23" i="2"/>
  <c r="I23" i="2"/>
  <c r="G24" i="2"/>
  <c r="H24" i="2"/>
  <c r="I24" i="2" s="1"/>
  <c r="G25" i="2"/>
  <c r="H25" i="2"/>
  <c r="I25" i="2"/>
  <c r="G26" i="2"/>
  <c r="H26" i="2"/>
  <c r="I26" i="2"/>
  <c r="G27" i="2"/>
  <c r="H27" i="2"/>
  <c r="I27" i="2" s="1"/>
  <c r="G28" i="2"/>
  <c r="H28" i="2"/>
  <c r="I28" i="2" s="1"/>
  <c r="G29" i="2"/>
  <c r="H29" i="2"/>
  <c r="G30" i="2"/>
  <c r="H30" i="2"/>
  <c r="I30" i="2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6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11" i="2"/>
  <c r="I10" i="2"/>
  <c r="I9" i="2"/>
  <c r="I8" i="2"/>
  <c r="I7" i="2"/>
  <c r="I6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7584DC3-BB18-48D4-8C8F-9F0CD108FE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F97F6A7-FD52-400E-8C73-7A3B3D5A72D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11E99DD-334E-4BF5-8E74-CF66663E2A6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2F763AA-3F63-466F-8505-D6E4DF87DD5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2FEDA1C-B29A-4C0A-A3AF-851FC98B0DB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41DC870-18EB-45D0-9CF8-5C383F5067F5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754B676C-C1A3-471B-8060-C3FFCA9DBEB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09766A2-5906-41E8-853D-556F031246C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30CC5784-CCD5-496A-9664-452CF9EA80F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BCC9B0E-8A32-409A-8E14-925F1BF6415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45E14AA-14FB-40DC-AF95-B7F71519B4E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2A52755-1207-404B-89D8-8B9A66F423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40157CC-4431-4EAF-8AFF-3D9B998C40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DFCA74D-9563-44D1-8074-2EAD8258F0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6EA3C34-524C-4869-9567-490C7A2078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1B3C7F8-1D45-4941-9222-041595CE3B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2839644-C349-44D2-9869-A0E4CAF4DF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50598F0-A41E-4904-8DAC-53A0E634B9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56B892D-A9CF-41BB-AEBE-6BCF16CED5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33F1CF0-4595-42A6-B659-51E992E35CF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646BF23-A968-44DA-95D1-AE2420CC694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F1E1435-D440-4DD1-BA87-ADEFFE3CC5D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7AB2D6B-FB7A-4E54-A003-CAF9EC2A15E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913CBC1-0CDD-4982-865F-497AEF7743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6A7D830-90F9-47B2-B9D0-E611757C4B7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A84A6B2-1F3C-46A3-9005-41448CFBF4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7344717-3917-4C67-8B6C-ADAF3964F0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DA0707E-1C57-44EB-A3EB-A8DE9B0FED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4C0B9775-F745-47E4-875E-34A42548C5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73C4D57-1450-4C97-80A7-F7857EF096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BE65999-3282-4726-AA78-F205F37D85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5E6EACA3-301C-41F3-AED3-E66E2964C9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95E55E3-B68E-4B6D-B19F-A8363E42C8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CE4D793-CD9D-4519-ACC9-359BFEB2896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A9AFABC8-2670-49C8-AB88-C0DD74991C6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5C1065B-4C99-4E10-8451-B9F1A7EED3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E888587-360B-4306-A935-99FFEE8C13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7834E5E-3AC3-44D7-BBC1-03979AE1E9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12DDDBE-163B-4CDC-AF69-34967A503B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E1EBDF0-0744-417A-93D2-F8169F3BF5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E42D056-C0D4-4F99-BBC3-F3ADFF92E1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D65ABE2-0CB2-4936-B152-19E787B387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3FEDA13-5718-49CC-88AA-775E65CCC0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01AEDB0-33F0-48CB-A968-6DD4E34DC5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4079926-9802-4A5A-9DF7-AF6FAB7FFB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D3882E7-949B-4390-BA34-70DEEAF135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ACCBA70-E02B-4F53-A17F-3EE1D28D9B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F35C12F-D3B1-4602-9712-1B18C2D885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307210C-2AF6-48C8-8B3D-449B38BC66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0D3A3E2B-F1DB-4864-9C87-BA976657FE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553081E-C9A6-4EAC-AD44-68E537E82D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9025662-1727-4F2C-A056-D231EC2283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2C507C15-D68F-48B8-AF08-4DC9075CD5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2F1FE9B-02E6-40AE-968D-DA3DAFD652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FD2E8C4B-58FB-4456-B9B6-15DD373930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9A56683-5C1E-41EE-9141-D4D2475092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48556FF-A256-4D21-B72E-041F5C4C5F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979E25C-7844-4BD9-AEA4-7D66ABE910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7FEA15ED-F039-460E-BB69-78AF48F1D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A3730CD-5E58-4DE7-8282-19AEDF1706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E6D8E4E-E9BD-4227-B2B6-937501EB85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E940A0D-B56D-45A8-ABF8-5170A49106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E25754E-751B-47F0-8385-E2A2D4670D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2A834298-E1CC-4083-9398-9822A5A3AC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C6EEC4F-3C22-4D02-8DAA-4D360C171B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1114BD8-40BC-4D5E-AA64-EF5CEC8685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526CDBC-DEDE-4DFB-9EF7-7147DC458E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2364F2E-BE90-47B5-BBCB-5E7B58A83F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8C2D685-0D19-4633-89D0-97D9D3E26B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D5CE17B1-D88F-42A5-882B-2B1F1006D4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F69A9C9-A507-429F-9817-5614188D0B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8A43544-96D6-4203-9D4D-1B41702030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E1308F2-D981-45FA-BC9B-F3D900894D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3C373B02-9E93-47A0-938C-B88324357E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23E87DA-121C-46D7-AF9A-1217298B3F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A41D4C3-A525-4B3C-BF52-B5E188394A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7EB08DB-2C8B-4250-A5C2-63EAEF83C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7D4116E-23F9-4FCA-B1D1-9A1EF593B3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62FA278-4EF9-47B6-8F7C-D463C6CE5A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945DACD-B700-4B32-BACF-4FB59D7935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A19CA89A-C65B-4134-9B7C-3EA3967521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CE33C3B5-7857-49A4-A7BC-94E65F1CD7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B63DB1E-91A0-4BC0-BFE5-1A13A279C7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5ED7D8E-D962-4108-9362-29371ED629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00C927D-2656-4621-828C-521BD7F6F8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BA07F9ED-D933-4AA4-8BA2-49D8E3C2FC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A083600-A9E8-447A-A787-8847FFCEF2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206A996-C59A-4134-A4EE-F4AA96E8AE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1ADCE011-E8D1-47C3-859A-EF77240FCD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730B021-F180-4831-A8BF-87D055CD32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11A3DF46-73D7-421C-999B-A99EE68ADC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CF95F3AB-DD49-47EA-86EB-71E2F70403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CF39AA1-5CAE-481D-94FA-B8E7B294DA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7F425C18-36E1-464C-939E-0813577D64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3E87844-A45A-4DFE-A794-103E1A6CFE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56C4269B-75AF-4490-A3B8-034D3F56EB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B672FAA-0AC4-4D87-B803-7E02F441DA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5C7D2DE-071F-464F-8040-CFB9FC86B8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CA89384-F445-4F71-8548-9E1F113280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D765A20-F601-4C61-B7E2-D49022022A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1C90355-88AB-45A2-8379-2661010855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7879906-192D-43ED-B110-DDA2202D36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E98AA6B-68B1-4381-B2C1-5AD7599C30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2E8C08E-47F1-4B5B-A721-3A273F9BA6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9C343FF-12F6-4ECC-9B57-0F91463D0F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B87597F-55DF-4290-9D1F-EA6A7C4F7B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D6C6AA0-830D-4C30-A9E9-0B9B968C31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A58F9F6-F415-48F1-A787-2F7BE18758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9D829CF-AE78-4FEC-9E75-5B965FCA30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715B36B-7073-40F3-B6CD-F8822D1868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65648A5-8AFB-4E61-8F96-F45F584B88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BB124C5-6AAD-4CB6-9D50-E265170A5C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0CC1AE3-20F8-41EB-936C-08AD13F5D9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A00DA20-C8D3-4944-9783-19DC2A83EA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16F979D-3D37-408C-ABE5-3A0D4AFCFE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C4297BF-A6EB-4E41-AB95-B45C6B20BA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6D4D449-CAD3-4571-96B6-0385B10BB6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9666B95-F344-4726-AD60-E07E74BE6B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421C935-728E-477E-AD73-9DBD988537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C586D15-E282-4A63-AF40-6805423FAE4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084D9E43-8295-46C1-BD82-6304FCA4C0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FF3B24A-3BA5-4DAE-AEB5-1B1BC60290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1383515-6280-4575-B382-56E74A4451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C0B033A-8180-4292-8012-9F86B48E1E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5769CDF-3A69-47BB-892F-0674FE03E4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BF4FCF4-6424-4255-9181-8D0A077DF9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A1F8AE9-7DCC-4D41-AF88-E3DAFBA991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0F40B8A-5A07-4490-AE98-20C2EC6882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332E8BB-E35A-460F-93D2-E8B1B2381C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531EA58-F6AC-482D-86DF-E49D646936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9008D1DA-B871-442C-BD6D-95D40E1E4B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BDCBE99-906B-49F5-BE88-42BF12A7F6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F5338EE9-867E-4D89-818A-56425FCA4A2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57C3CF4-642E-4B62-98B9-F8EDD29D72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F8E4C1B4-FFD8-4641-BC41-CDCDAA3C03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018D98C-B27E-439E-BEEB-DCFE432FF0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BC6EBDC0-C113-446A-9B4F-B98A999F78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171E97C-2153-44B7-A079-A1E2C95B2D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B74E268-9482-4F67-8A6F-B567F3DA72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E5038B6-850E-4F15-9E87-F051E9B9F0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94520A8-41D9-414D-B49F-37971FFD2C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069B2E8-93FB-4622-8563-2DC1FFF33F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F4A578B-560B-4CE1-A1EE-FC3075DBCE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87840AE-195D-4940-A193-9D8E291EBE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22AAC4F-2B30-4FC9-9340-533D3FAA74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2A5D14C-6672-4C17-AFBE-39AFA2E936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1D0FAB4A-71FD-4614-B62F-D182DD73FF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48959E4C-D33E-4B08-999F-842D1C6143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2A1A46F-FFC6-46CF-AC46-0FDA97C845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F038D37-FB66-4E33-831B-04A79371F5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A67213D-68D0-40F7-BE47-147A7F2181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12FDD0E-82AA-4E3E-B5E6-BEDB8E7905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CE174E9-6591-45CC-BAF0-05112C89A5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FF07841-0825-4BBF-85CA-E1BE03A268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988BC23-8319-4F99-A978-020E680E0A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5846312-45E0-49F2-ACE0-0AF595D7EE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5AEAC3D-BAA0-46F1-AD72-C6DC6DACF0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1828C3B-40E9-4DC6-BFC0-212C28A66F1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D90AE10-0B9B-4FBA-A4CA-66581ED69B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769D7A5-769A-46A1-B7C1-19789F187C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873A394-A259-4E99-AA0F-C376CEEAF8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C86FDAF-D9B8-4732-A4AB-45F7D72FC0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DFB11A4-A3FB-4D5C-9182-73F44BED1E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037E5AC-D1FC-4C61-9BFC-A778140AB7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D85CB49-C735-4F9B-92EC-39924EC23D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01433979-E243-4F6D-8F9F-001C16B825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7BC9B38-ECDA-46DA-8E8F-E753FE8375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C33930F-2AA6-4AD1-8619-0D20970450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95DE334-3CAC-4E79-8650-AE263ED195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14A9373A-64F7-448F-B926-0F86D39460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0B60894E-FDAC-4D20-B806-D819058F48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08C9D8BE-9B4B-4A28-9D02-65C1D04DA8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7B0E33C-45DE-4991-90D9-C1803AB5C5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A7E6011F-122F-47BA-A5CF-FAEDDB0B1E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853F830-6576-4709-A08F-0FB9931B65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731DB30-4ECB-4E19-A562-7CC9FAD549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59D619E7-6F6A-4052-AFCF-2484CC2B6B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6B6718F-DB71-4E11-B07D-048D1A2F17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12AF64B-3915-4A0A-B59A-C88CC1C043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387F6002-8281-4E8E-AD1A-0D0353F90C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5FA2FE6-FC61-4129-89F8-1B0A878639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6587D2C-16E8-4D37-9090-B1376AE532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376FBCE-10BA-4F20-BBD5-98CE2E804D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8D8C88CD-C83C-4250-93CF-BEC4B808CB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5F08A39-7021-4D29-8CD4-2F47E1F6EA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01353F6-6564-4BDA-B5D9-9F8FC1DB5F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846E339-BF4D-4203-A0A9-7E45FC7911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9D20A35-8C41-4C40-87DE-D569704892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7FF6D06-E946-4573-BA54-B743F8EDDD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DC5FD207-BF0A-4AE2-8A9D-2479B109B8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2005C4D-B2B9-4E2F-B3A6-AFA9811396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30A8A2C-ED4F-49D4-8E80-F08A129B4C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10298BB-3910-4101-A338-8EFCE79376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E725763-3F9A-4F72-94D9-E93F9BE8CB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DE7221A-99BF-4EA4-B812-D187576FC5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C152DAF-3AF4-4AF9-AEAB-9FFFD6BAC9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407B80F-8708-45BE-A698-8CD6D20F31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E3424A8-3F00-4E9D-B1D1-85DC0C6A3D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5A55949-2AC9-4FE2-9178-D2A1997085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E25EFD38-3F01-4850-9014-AC1BEA7E2BC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45E8519-B6ED-4050-BFCE-3D4C6E3C9A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5CD4A02-5933-4091-B82C-EF8E75C55E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ECE9CD8-B39F-4454-9073-28C5081CAF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23F62BEE-A8B5-4346-9993-31D64C794EB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98327B34-5E78-4AC2-B71F-174E4E6184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C470B8E-EBD8-4B95-ABC3-AADC793720A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D20EE67-D0D6-4220-9D4C-FD7F6D667D6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94D80E7-7C88-46E6-9733-EC693A0A5E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559EB93-346A-425B-A09D-DBA046AD93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E947AF5-4D41-4689-BFEA-722C7A82CF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84FC2EA-2E00-4CA5-BB81-0816EAA59C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B853EDB-A20E-4C91-969E-166DC317B0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A4E0876-EAA2-43C3-B6C7-0FCFB096770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EC8B715-5477-46C9-9D38-9E0D09095BF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C9A9CEBF-5C4B-40C0-AE76-FEA607699C6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07C2153E-B079-4230-9DB5-A59DF51D6B3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B6DD633B-5FD7-4F90-AC74-2DAD110DD07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3DF8D685-5C8E-4A0F-BDE2-B18ACE78651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0DE43130-AEC9-4FBB-9743-BC60021DC12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3580339-E476-4C1B-A128-0C563F63DC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301D9DC-44DE-4E9A-82D0-F41F1E77D3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728CAF1-190E-49E8-8EC8-713CFF8E1D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8315B71-140F-4CB6-BD7C-3D870A3766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70F471D-6D8C-40FA-BADB-BD790C447A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BBBCE045-94B3-49B3-958C-5EE33BCD52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1CE750D-5DC1-49F1-B444-DD9B8B5478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9299641-D503-43AB-9ECA-972D3E0708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077060F-74AA-4E10-8802-95116A13DF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F226728-4598-4E47-9F03-44519F2889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704BEF9-BE95-463E-A463-4CB6392A75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A69C58D3-2EE7-4B66-97A0-A5198D0D7E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3DFC908-EEC1-423F-9E7F-D286F56C5E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859F30F7-572D-407B-B22F-81E9A0782B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0CD4F9B-E01B-4596-9892-884ECD84F9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A39888A-B91B-4FEF-AFBA-041D816D9E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F6D81E0-AB99-4A16-900A-4FBA9C19DB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83012FE-9528-48E3-A4F3-7296C582C6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A2A505D4-5EE0-4E5E-9FCB-064A7B4209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DB0EC29-0C79-459F-AEC5-E5710FA43B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7C10FAC-19C1-42F3-A01D-D6A4B1F24B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88754B7-F84E-462D-A2B4-1C16ECB734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5138D2B-8A50-4320-B4C0-60254377A3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76E3A66-4966-4457-A730-1D9AF452B2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8C03C26E-3D70-4E60-A603-6FD124984F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FBA37EA-8E6D-4854-A4D3-340B21C4B7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00A432EA-ADDB-4961-8601-D6C0ED094D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4A942AA-7F39-4A55-A8A9-C50C63DB62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D4F4242-6183-491D-BAEA-D0C555D46B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28CBF91-0078-4DB5-853F-953E7A328C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3621A61-A8B8-49AB-AAA2-3342AE2108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0A40255-D2FE-440B-ACA2-C939ED6E32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1AD48E0-4728-4713-8278-0A32B2C6D2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0C74135-CDBC-4BA8-AA61-B17508EE0D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D80BCB6-33E6-4721-B028-B77E5CB52D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290F2C4-98BF-478F-9E7E-F6BEAA8DF8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91C68D9-F32C-48A7-A810-20A0A0E719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1766A59-5C31-49DE-A0A3-B7AF8F34BD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D733639-7936-4AD3-A9C2-6B62137B0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6CFB014D-A826-4D07-A328-8525867E8A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CBF01E5-C01D-4A19-AD3F-5DA2DCADFC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2586AD3-7B24-43B6-BD46-4AC63EDFF2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C492029-5D1A-464C-A090-020839E2994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950F38D-1E0F-491E-9741-7A9431120A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9F7B0AD-8697-4C17-947C-380FFC3CC4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E0C6D3D-0CFC-4830-94F0-CE8937F3C4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E06A376-19F9-463B-AE0E-73402BF4C3CD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BC2EC046-678D-4149-A027-321144195AE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BF1C441-523B-439E-85A9-CE6513770C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592DC86-1E05-4A77-8B38-E781418428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A9EA1C8-F5F3-47AE-A9B8-6629CD24BE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538B0A12-5C9B-4186-B617-A3ABEEBAE0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92070DA-520A-4E73-B084-A45E4DEAAA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16D19E44-D66A-4D63-9160-6E5C72C789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B533BEB-1376-4140-AA4B-A0F598F4596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5515B92-AC02-4E8E-8A29-87B52FE5731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5CF6E72D-B4E5-4A20-87EE-49867DF7548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1ADF553-6343-4B2E-8AB9-C6CDC903101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2FADC9A-60F8-4FBB-BD5A-82B333AB05A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C461D44-B75E-41A7-BE98-309ACB2F83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06764D8-DAE3-4F06-AAEA-6266802057A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C21B1A0-2055-443D-A9B9-C1F1E303B22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DE2EB00-F09F-45D1-AA3F-075F225C535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D93C621F-0843-4F3D-B500-1FFF48F9187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391A0A3-ABD8-494C-802F-928C96C6EFB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B9AF748-4B17-4FA0-A87C-18358833CA4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A3116BF-7030-4D37-8CE5-27394182F12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B78FDAC-FF2F-4B64-9782-A64FE24F32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9607BC2-A255-43DF-93B0-D961B0C6ECB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5A8813BC-3E82-4911-9C73-7B62205021A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E676717-AB72-48D5-B82E-D5A1BF77C14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6372C05-91C3-413E-9A5D-5A295B5230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C119DDD-D48E-4FBB-A314-2F140206E9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A8CEBD8-744D-41E4-AC4E-7F7129A186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B63C6B6C-9AB1-4A6D-B12D-DA7E8E30BF4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CDBD2C2-2E31-419A-BBE2-445FB74E031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24CD1D1-319B-4713-9909-E0B15D64757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84566B85-7620-46BE-A4ED-9F66C658D6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23D84EF-AB81-44D7-93A1-479FF78C7331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48726B5-26C7-49B3-822C-01F6E72127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A9649F8-5C0B-44DC-9F26-92C410B8C12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40E99834-8ADF-4E88-9433-7081F294C34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E38FAFF-0FFA-43FD-9D35-22BF57E7770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4E26FA3D-18D1-4A7B-9214-7B54E07CD3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DFC0F6E9-D0E9-42F8-8F35-9BD9653751E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B5440158-AE23-4781-A0CB-F8643ACD47E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D058B01-40FB-4EC2-A65F-5CC517AA1DF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2728D49-C40F-42F9-99D9-5962494CA59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95D17E12-F28E-460C-873D-F9B9E25FA26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6165B7B-88C6-41FE-A7DF-DD73DC6843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01D2B23-D2CB-4C4E-B9D8-D01987CA313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017D8F8-4AA4-4C86-98EC-45F8E6E4FE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BDCD96BA-17E0-4343-8613-9677E5A0708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29FA76E-867E-42E3-89B1-318ED2C988C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C6146446-8267-4185-BD01-5A098998020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68D1358-325A-474C-AB6D-E09E6947B16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95E6C51-A0D6-4243-9F12-F6EDA2E9143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86C20539-661E-4101-9AAE-E27FE1F892E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09EB87F-1332-42A9-A9C4-599B9746755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8875FE3-3E7B-4E92-808E-DAF0D358D5E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4142847B-8B8C-4895-BBB1-61E0E17170B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7AB52E9-65EB-4C1A-9305-A1F97188A35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9E1C017-84F5-416A-AB84-21A90652DC6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99C1853-C136-4B0D-A01A-20994598257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<sst xmlns="http://schemas.openxmlformats.org/spreadsheetml/2006/main" count="1102" uniqueCount="271">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</sst>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2966272</v>
      </c>
    </row>
    <row r="8" spans="1:3" ht="15" customHeight="1" x14ac:dyDescent="0.25">
      <c r="B8" s="7" t="s">
        <v>106</v>
      </c>
      <c r="C8" s="70">
        <v>0.51500000000000001</v>
      </c>
    </row>
    <row r="9" spans="1:3" ht="15" customHeight="1" x14ac:dyDescent="0.25">
      <c r="B9" s="9" t="s">
        <v>107</v>
      </c>
      <c r="C9" s="71">
        <v>0.77</v>
      </c>
    </row>
    <row r="10" spans="1:3" ht="15" customHeight="1" x14ac:dyDescent="0.25">
      <c r="B10" s="9" t="s">
        <v>105</v>
      </c>
      <c r="C10" s="71">
        <v>0.307979602813721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0.77599999999999991</v>
      </c>
    </row>
    <row r="13" spans="1:3" ht="15" customHeight="1" x14ac:dyDescent="0.25">
      <c r="B13" s="7" t="s">
        <v>110</v>
      </c>
      <c r="C13" s="70">
        <v>0.254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0.15460000000000002</v>
      </c>
    </row>
    <row r="24" spans="1:3" ht="15" customHeight="1" x14ac:dyDescent="0.25">
      <c r="B24" s="20" t="s">
        <v>102</v>
      </c>
      <c r="C24" s="71">
        <v>0.46519999999999995</v>
      </c>
    </row>
    <row r="25" spans="1:3" ht="15" customHeight="1" x14ac:dyDescent="0.25">
      <c r="B25" s="20" t="s">
        <v>103</v>
      </c>
      <c r="C25" s="71">
        <v>0.30450000000000005</v>
      </c>
    </row>
    <row r="26" spans="1:3" ht="15" customHeight="1" x14ac:dyDescent="0.25">
      <c r="B26" s="20" t="s">
        <v>104</v>
      </c>
      <c r="C26" s="71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3.9E-2</v>
      </c>
    </row>
    <row r="31" spans="1:3" ht="14.25" customHeight="1" x14ac:dyDescent="0.25">
      <c r="B31" s="30" t="s">
        <v>77</v>
      </c>
      <c r="C31" s="73">
        <v>0.107</v>
      </c>
    </row>
    <row r="32" spans="1:3" ht="14.25" customHeight="1" x14ac:dyDescent="0.25">
      <c r="B32" s="30" t="s">
        <v>78</v>
      </c>
      <c r="C32" s="73">
        <v>0.64699999998509883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22.7</v>
      </c>
    </row>
    <row r="38" spans="1:5" ht="15" customHeight="1" x14ac:dyDescent="0.25">
      <c r="B38" s="16" t="s">
        <v>91</v>
      </c>
      <c r="C38" s="75">
        <v>38.5</v>
      </c>
      <c r="D38" s="17"/>
      <c r="E38" s="18"/>
    </row>
    <row r="39" spans="1:5" ht="15" customHeight="1" x14ac:dyDescent="0.25">
      <c r="B39" s="16" t="s">
        <v>90</v>
      </c>
      <c r="C39" s="75">
        <v>55.4</v>
      </c>
      <c r="D39" s="17"/>
      <c r="E39" s="17"/>
    </row>
    <row r="40" spans="1:5" ht="15" customHeight="1" x14ac:dyDescent="0.25">
      <c r="B40" s="16" t="s">
        <v>171</v>
      </c>
      <c r="C40" s="75">
        <v>6.34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2.8999999999999998E-2</v>
      </c>
      <c r="D45" s="17"/>
    </row>
    <row r="46" spans="1:5" ht="15.75" customHeight="1" x14ac:dyDescent="0.25">
      <c r="B46" s="16" t="s">
        <v>11</v>
      </c>
      <c r="C46" s="71">
        <v>0.1517</v>
      </c>
      <c r="D46" s="17"/>
    </row>
    <row r="47" spans="1:5" ht="15.75" customHeight="1" x14ac:dyDescent="0.25">
      <c r="B47" s="16" t="s">
        <v>12</v>
      </c>
      <c r="C47" s="71">
        <v>0.20319999999999999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3.3965140548475001</v>
      </c>
      <c r="D51" s="17"/>
    </row>
    <row r="52" spans="1:4" ht="15" customHeight="1" x14ac:dyDescent="0.25">
      <c r="B52" s="16" t="s">
        <v>125</v>
      </c>
      <c r="C52" s="76">
        <v>4.7605460963899997</v>
      </c>
    </row>
    <row r="53" spans="1:4" ht="15.75" customHeight="1" x14ac:dyDescent="0.25">
      <c r="B53" s="16" t="s">
        <v>126</v>
      </c>
      <c r="C53" s="76">
        <v>4.7605460963899997</v>
      </c>
    </row>
    <row r="54" spans="1:4" ht="15.75" customHeight="1" x14ac:dyDescent="0.25">
      <c r="B54" s="16" t="s">
        <v>127</v>
      </c>
      <c r="C54" s="76">
        <v>3.08833460499</v>
      </c>
    </row>
    <row r="55" spans="1:4" ht="15.75" customHeight="1" x14ac:dyDescent="0.25">
      <c r="B55" s="16" t="s">
        <v>128</v>
      </c>
      <c r="C55" s="76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0.46536119576171681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33.512328306813664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44.605343392661311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30.030766511576612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0.11340658198033567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1.0491818188097615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1.0491818188097615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1.0491818188097615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1.0491818188097615</v>
      </c>
      <c r="E13" s="86" t="s">
        <v>202</v>
      </c>
    </row>
    <row r="14" spans="1:5" ht="15.75" customHeight="1" x14ac:dyDescent="0.25">
      <c r="A14" s="11" t="s">
        <v>187</v>
      </c>
      <c r="B14" s="85">
        <v>0.33399999999999996</v>
      </c>
      <c r="C14" s="85">
        <v>0.95</v>
      </c>
      <c r="D14" s="86">
        <v>14.130405261781679</v>
      </c>
      <c r="E14" s="86" t="s">
        <v>202</v>
      </c>
    </row>
    <row r="15" spans="1:5" ht="15.75" customHeight="1" x14ac:dyDescent="0.25">
      <c r="A15" s="11" t="s">
        <v>209</v>
      </c>
      <c r="B15" s="85">
        <v>0.33399999999999996</v>
      </c>
      <c r="C15" s="85">
        <v>0.95</v>
      </c>
      <c r="D15" s="86">
        <v>14.130405261781679</v>
      </c>
      <c r="E15" s="86" t="s">
        <v>202</v>
      </c>
    </row>
    <row r="16" spans="1:5" ht="15.75" customHeight="1" x14ac:dyDescent="0.25">
      <c r="A16" s="52" t="s">
        <v>57</v>
      </c>
      <c r="B16" s="85">
        <v>0.7609999999999999</v>
      </c>
      <c r="C16" s="85">
        <v>0.95</v>
      </c>
      <c r="D16" s="86">
        <v>0.18668210981427777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0.25</v>
      </c>
      <c r="C18" s="85">
        <v>0.95</v>
      </c>
      <c r="D18" s="87">
        <v>0.80800494022236113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0.80800494022236113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0.80800494022236113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0.80110146350938183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24.054885882818429</v>
      </c>
      <c r="E22" s="86" t="s">
        <v>202</v>
      </c>
    </row>
    <row r="23" spans="1:5" ht="15.75" customHeight="1" x14ac:dyDescent="0.25">
      <c r="A23" s="52" t="s">
        <v>34</v>
      </c>
      <c r="B23" s="85">
        <v>0.82099999999999995</v>
      </c>
      <c r="C23" s="85">
        <v>0.95</v>
      </c>
      <c r="D23" s="86">
        <v>4.621869686333798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20.43896045604918</v>
      </c>
      <c r="E24" s="86" t="s">
        <v>202</v>
      </c>
    </row>
    <row r="25" spans="1:5" ht="15.75" customHeight="1" x14ac:dyDescent="0.25">
      <c r="A25" s="52" t="s">
        <v>87</v>
      </c>
      <c r="B25" s="85">
        <v>0.34799999999999998</v>
      </c>
      <c r="C25" s="85">
        <v>0.95</v>
      </c>
      <c r="D25" s="86">
        <v>20.438698294569541</v>
      </c>
      <c r="E25" s="86" t="s">
        <v>202</v>
      </c>
    </row>
    <row r="26" spans="1:5" ht="15.75" customHeight="1" x14ac:dyDescent="0.25">
      <c r="A26" s="52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3.581415982664061</v>
      </c>
      <c r="E27" s="86" t="s">
        <v>202</v>
      </c>
    </row>
    <row r="28" spans="1:5" ht="15.75" customHeight="1" x14ac:dyDescent="0.25">
      <c r="A28" s="52" t="s">
        <v>84</v>
      </c>
      <c r="B28" s="85">
        <v>0.64700000000000002</v>
      </c>
      <c r="C28" s="85">
        <v>0.95</v>
      </c>
      <c r="D28" s="86">
        <v>2.0462563313151301</v>
      </c>
      <c r="E28" s="86" t="s">
        <v>202</v>
      </c>
    </row>
    <row r="29" spans="1:5" ht="15.75" customHeight="1" x14ac:dyDescent="0.25">
      <c r="A29" s="52" t="s">
        <v>58</v>
      </c>
      <c r="B29" s="85">
        <v>0.25</v>
      </c>
      <c r="C29" s="85">
        <v>0.95</v>
      </c>
      <c r="D29" s="86">
        <v>57.691469774981172</v>
      </c>
      <c r="E29" s="86" t="s">
        <v>202</v>
      </c>
    </row>
    <row r="30" spans="1:5" ht="15.75" customHeight="1" x14ac:dyDescent="0.25">
      <c r="A30" s="52" t="s">
        <v>67</v>
      </c>
      <c r="B30" s="85">
        <v>7.2000000000000008E-2</v>
      </c>
      <c r="C30" s="85">
        <v>0.95</v>
      </c>
      <c r="D30" s="86">
        <v>0.45959500925169483</v>
      </c>
      <c r="E30" s="86" t="s">
        <v>202</v>
      </c>
    </row>
    <row r="31" spans="1:5" ht="15.75" customHeight="1" x14ac:dyDescent="0.25">
      <c r="A31" s="52" t="s">
        <v>28</v>
      </c>
      <c r="B31" s="85">
        <v>0.91</v>
      </c>
      <c r="C31" s="85">
        <v>0.95</v>
      </c>
      <c r="D31" s="86">
        <v>0.33618374922887545</v>
      </c>
      <c r="E31" s="86" t="s">
        <v>202</v>
      </c>
    </row>
    <row r="32" spans="1:5" ht="15.75" customHeight="1" x14ac:dyDescent="0.25">
      <c r="A32" s="52" t="s">
        <v>83</v>
      </c>
      <c r="B32" s="85">
        <v>0.107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0.85499999999999998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0.90200000000000002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7.9000000000000001E-2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0.28100000000000003</v>
      </c>
      <c r="C37" s="85">
        <v>0.95</v>
      </c>
      <c r="D37" s="86">
        <v>6.3798849579053005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0.3601423203656352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6.6174549999999999E-2</v>
      </c>
      <c r="C3" s="26">
        <f>frac_mam_1_5months * 2.6</f>
        <v>6.6174549999999999E-2</v>
      </c>
      <c r="D3" s="26">
        <f>frac_mam_6_11months * 2.6</f>
        <v>8.701834856E-2</v>
      </c>
      <c r="E3" s="26">
        <f>frac_mam_12_23months * 2.6</f>
        <v>7.5952156800000004E-2</v>
      </c>
      <c r="F3" s="26">
        <f>frac_mam_24_59months * 2.6</f>
        <v>4.3719245006666671E-2</v>
      </c>
    </row>
    <row r="4" spans="1:6" ht="15.75" customHeight="1" x14ac:dyDescent="0.25">
      <c r="A4" s="3" t="s">
        <v>66</v>
      </c>
      <c r="B4" s="26">
        <f>frac_sam_1month * 2.6</f>
        <v>3.5679773999999997E-2</v>
      </c>
      <c r="C4" s="26">
        <f>frac_sam_1_5months * 2.6</f>
        <v>3.5679773999999997E-2</v>
      </c>
      <c r="D4" s="26">
        <f>frac_sam_6_11months * 2.6</f>
        <v>1.742592644E-2</v>
      </c>
      <c r="E4" s="26">
        <f>frac_sam_12_23months * 2.6</f>
        <v>1.0598614000000001E-2</v>
      </c>
      <c r="F4" s="26">
        <f>frac_sam_24_59months * 2.6</f>
        <v>1.5400811659999998E-2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677825.96349600004</v>
      </c>
      <c r="C2" s="78">
        <v>1042690</v>
      </c>
      <c r="D2" s="78">
        <v>1679748</v>
      </c>
      <c r="E2" s="78">
        <v>1099250</v>
      </c>
      <c r="F2" s="78">
        <v>654782</v>
      </c>
      <c r="G2" s="22">
        <f t="shared" ref="G2:G40" si="0">C2+D2+E2+F2</f>
        <v>4476470</v>
      </c>
      <c r="H2" s="22">
        <f t="shared" ref="H2:H40" si="1">(B2 + stillbirth*B2/(1000-stillbirth))/(1-abortion)</f>
        <v>796473.42350129376</v>
      </c>
      <c r="I2" s="22">
        <f>G2-H2</f>
        <v>3679996.5764987064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691396.54</v>
      </c>
      <c r="C3" s="78">
        <v>1069000</v>
      </c>
      <c r="D3" s="78">
        <v>1725000</v>
      </c>
      <c r="E3" s="78">
        <v>1149000</v>
      </c>
      <c r="F3" s="78">
        <v>686000</v>
      </c>
      <c r="G3" s="22">
        <f t="shared" si="0"/>
        <v>4629000</v>
      </c>
      <c r="H3" s="22">
        <f t="shared" si="1"/>
        <v>812419.40980031353</v>
      </c>
      <c r="I3" s="22">
        <f t="shared" ref="I3:I15" si="3">G3-H3</f>
        <v>3816580.5901996866</v>
      </c>
    </row>
    <row r="4" spans="1:9" ht="15.75" customHeight="1" x14ac:dyDescent="0.25">
      <c r="A4" s="7">
        <f t="shared" si="2"/>
        <v>2019</v>
      </c>
      <c r="B4" s="77">
        <v>705013.40700000001</v>
      </c>
      <c r="C4" s="78">
        <v>1098000</v>
      </c>
      <c r="D4" s="78">
        <v>1773000</v>
      </c>
      <c r="E4" s="78">
        <v>1200000</v>
      </c>
      <c r="F4" s="78">
        <v>718000</v>
      </c>
      <c r="G4" s="22">
        <f t="shared" si="0"/>
        <v>4789000</v>
      </c>
      <c r="H4" s="22">
        <f t="shared" si="1"/>
        <v>828419.78933861631</v>
      </c>
      <c r="I4" s="22">
        <f t="shared" si="3"/>
        <v>3960580.2106613838</v>
      </c>
    </row>
    <row r="5" spans="1:9" ht="15.75" customHeight="1" x14ac:dyDescent="0.25">
      <c r="A5" s="7">
        <f t="shared" si="2"/>
        <v>2020</v>
      </c>
      <c r="B5" s="77">
        <v>718662.12</v>
      </c>
      <c r="C5" s="78">
        <v>1131000</v>
      </c>
      <c r="D5" s="78">
        <v>1822000</v>
      </c>
      <c r="E5" s="78">
        <v>1253000</v>
      </c>
      <c r="F5" s="78">
        <v>751000</v>
      </c>
      <c r="G5" s="22">
        <f t="shared" si="0"/>
        <v>4957000</v>
      </c>
      <c r="H5" s="22">
        <f t="shared" si="1"/>
        <v>844457.5892385029</v>
      </c>
      <c r="I5" s="22">
        <f t="shared" si="3"/>
        <v>4112542.410761497</v>
      </c>
    </row>
    <row r="6" spans="1:9" ht="15.75" customHeight="1" x14ac:dyDescent="0.25">
      <c r="A6" s="7">
        <f t="shared" si="2"/>
        <v>2021</v>
      </c>
      <c r="B6" s="77">
        <v>730790.89319999993</v>
      </c>
      <c r="C6" s="78">
        <v>1166000</v>
      </c>
      <c r="D6" s="78">
        <v>1870000</v>
      </c>
      <c r="E6" s="78">
        <v>1305000</v>
      </c>
      <c r="F6" s="78">
        <v>784000</v>
      </c>
      <c r="G6" s="22">
        <f t="shared" si="0"/>
        <v>5125000</v>
      </c>
      <c r="H6" s="22">
        <f t="shared" si="1"/>
        <v>858709.3972743745</v>
      </c>
      <c r="I6" s="22">
        <f t="shared" si="3"/>
        <v>4266290.602725625</v>
      </c>
    </row>
    <row r="7" spans="1:9" ht="15.75" customHeight="1" x14ac:dyDescent="0.25">
      <c r="A7" s="7">
        <f t="shared" si="2"/>
        <v>2022</v>
      </c>
      <c r="B7" s="77">
        <v>742846.22199999983</v>
      </c>
      <c r="C7" s="78">
        <v>1207000</v>
      </c>
      <c r="D7" s="78">
        <v>1919000</v>
      </c>
      <c r="E7" s="78">
        <v>1360000</v>
      </c>
      <c r="F7" s="78">
        <v>819000</v>
      </c>
      <c r="G7" s="22">
        <f t="shared" si="0"/>
        <v>5305000</v>
      </c>
      <c r="H7" s="22">
        <f t="shared" si="1"/>
        <v>872874.90511542407</v>
      </c>
      <c r="I7" s="22">
        <f t="shared" si="3"/>
        <v>4432125.0948845763</v>
      </c>
    </row>
    <row r="8" spans="1:9" ht="15.75" customHeight="1" x14ac:dyDescent="0.25">
      <c r="A8" s="7">
        <f t="shared" si="2"/>
        <v>2023</v>
      </c>
      <c r="B8" s="77">
        <v>754849.30919999979</v>
      </c>
      <c r="C8" s="78">
        <v>1250000</v>
      </c>
      <c r="D8" s="78">
        <v>1973000</v>
      </c>
      <c r="E8" s="78">
        <v>1415000</v>
      </c>
      <c r="F8" s="78">
        <v>856000</v>
      </c>
      <c r="G8" s="22">
        <f t="shared" si="0"/>
        <v>5494000</v>
      </c>
      <c r="H8" s="22">
        <f t="shared" si="1"/>
        <v>886979.02692489338</v>
      </c>
      <c r="I8" s="22">
        <f t="shared" si="3"/>
        <v>4607020.9730751067</v>
      </c>
    </row>
    <row r="9" spans="1:9" ht="15.75" customHeight="1" x14ac:dyDescent="0.25">
      <c r="A9" s="7">
        <f t="shared" si="2"/>
        <v>2024</v>
      </c>
      <c r="B9" s="77">
        <v>766819.77679999976</v>
      </c>
      <c r="C9" s="78">
        <v>1288000</v>
      </c>
      <c r="D9" s="78">
        <v>2029000</v>
      </c>
      <c r="E9" s="78">
        <v>1470000</v>
      </c>
      <c r="F9" s="78">
        <v>895000</v>
      </c>
      <c r="G9" s="22">
        <f t="shared" si="0"/>
        <v>5682000</v>
      </c>
      <c r="H9" s="22">
        <f t="shared" si="1"/>
        <v>901044.81936091837</v>
      </c>
      <c r="I9" s="22">
        <f t="shared" si="3"/>
        <v>4780955.1806390816</v>
      </c>
    </row>
    <row r="10" spans="1:9" ht="15.75" customHeight="1" x14ac:dyDescent="0.25">
      <c r="A10" s="7">
        <f t="shared" si="2"/>
        <v>2025</v>
      </c>
      <c r="B10" s="77">
        <v>778708.75800000003</v>
      </c>
      <c r="C10" s="78">
        <v>1318000</v>
      </c>
      <c r="D10" s="78">
        <v>2090000</v>
      </c>
      <c r="E10" s="78">
        <v>1522000</v>
      </c>
      <c r="F10" s="78">
        <v>937000</v>
      </c>
      <c r="G10" s="22">
        <f t="shared" si="0"/>
        <v>5867000</v>
      </c>
      <c r="H10" s="22">
        <f t="shared" si="1"/>
        <v>915014.86192091031</v>
      </c>
      <c r="I10" s="22">
        <f t="shared" si="3"/>
        <v>4951985.13807909</v>
      </c>
    </row>
    <row r="11" spans="1:9" ht="15.75" customHeight="1" x14ac:dyDescent="0.25">
      <c r="A11" s="7">
        <f t="shared" si="2"/>
        <v>2026</v>
      </c>
      <c r="B11" s="77">
        <v>789707.23920000007</v>
      </c>
      <c r="C11" s="78">
        <v>1341000</v>
      </c>
      <c r="D11" s="78">
        <v>2153000</v>
      </c>
      <c r="E11" s="78">
        <v>1573000</v>
      </c>
      <c r="F11" s="78">
        <v>983000</v>
      </c>
      <c r="G11" s="22">
        <f t="shared" si="0"/>
        <v>6050000</v>
      </c>
      <c r="H11" s="22">
        <f t="shared" si="1"/>
        <v>927938.53030548734</v>
      </c>
      <c r="I11" s="22">
        <f t="shared" si="3"/>
        <v>5122061.4696945129</v>
      </c>
    </row>
    <row r="12" spans="1:9" ht="15.75" customHeight="1" x14ac:dyDescent="0.25">
      <c r="A12" s="7">
        <f t="shared" si="2"/>
        <v>2027</v>
      </c>
      <c r="B12" s="77">
        <v>800580.06239999994</v>
      </c>
      <c r="C12" s="78">
        <v>1357000</v>
      </c>
      <c r="D12" s="78">
        <v>2221000</v>
      </c>
      <c r="E12" s="78">
        <v>1624000</v>
      </c>
      <c r="F12" s="78">
        <v>1033000</v>
      </c>
      <c r="G12" s="22">
        <f t="shared" si="0"/>
        <v>6235000</v>
      </c>
      <c r="H12" s="22">
        <f t="shared" si="1"/>
        <v>940714.54536481493</v>
      </c>
      <c r="I12" s="22">
        <f t="shared" si="3"/>
        <v>5294285.4546351852</v>
      </c>
    </row>
    <row r="13" spans="1:9" ht="15.75" customHeight="1" x14ac:dyDescent="0.25">
      <c r="A13" s="7">
        <f t="shared" si="2"/>
        <v>2028</v>
      </c>
      <c r="B13" s="77">
        <v>811278.2503999999</v>
      </c>
      <c r="C13" s="78">
        <v>1368000</v>
      </c>
      <c r="D13" s="78">
        <v>2290000</v>
      </c>
      <c r="E13" s="78">
        <v>1671000</v>
      </c>
      <c r="F13" s="78">
        <v>1084000</v>
      </c>
      <c r="G13" s="22">
        <f t="shared" si="0"/>
        <v>6413000</v>
      </c>
      <c r="H13" s="22">
        <f t="shared" si="1"/>
        <v>953285.35687175824</v>
      </c>
      <c r="I13" s="22">
        <f t="shared" si="3"/>
        <v>5459714.6431282414</v>
      </c>
    </row>
    <row r="14" spans="1:9" ht="15.75" customHeight="1" x14ac:dyDescent="0.25">
      <c r="A14" s="7">
        <f t="shared" si="2"/>
        <v>2029</v>
      </c>
      <c r="B14" s="77">
        <v>821691.09239999985</v>
      </c>
      <c r="C14" s="78">
        <v>1382000</v>
      </c>
      <c r="D14" s="78">
        <v>2358000</v>
      </c>
      <c r="E14" s="78">
        <v>1721000</v>
      </c>
      <c r="F14" s="78">
        <v>1137000</v>
      </c>
      <c r="G14" s="22">
        <f t="shared" si="0"/>
        <v>6598000</v>
      </c>
      <c r="H14" s="22">
        <f t="shared" si="1"/>
        <v>965520.87507667125</v>
      </c>
      <c r="I14" s="22">
        <f t="shared" si="3"/>
        <v>5632479.1249233289</v>
      </c>
    </row>
    <row r="15" spans="1:9" ht="15.75" customHeight="1" x14ac:dyDescent="0.25">
      <c r="A15" s="7">
        <f t="shared" si="2"/>
        <v>2030</v>
      </c>
      <c r="B15" s="77">
        <v>831838.24399999995</v>
      </c>
      <c r="C15" s="78">
        <v>1403000</v>
      </c>
      <c r="D15" s="78">
        <v>2423000</v>
      </c>
      <c r="E15" s="78">
        <v>1771000</v>
      </c>
      <c r="F15" s="78">
        <v>1190000</v>
      </c>
      <c r="G15" s="22">
        <f t="shared" si="0"/>
        <v>6787000</v>
      </c>
      <c r="H15" s="22">
        <f t="shared" si="1"/>
        <v>977444.19611907401</v>
      </c>
      <c r="I15" s="22">
        <f t="shared" si="3"/>
        <v>5809555.8038809262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129.25453037128952</v>
      </c>
      <c r="I17" s="22">
        <f t="shared" si="4"/>
        <v>-129.25453037128952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4.0551966000000002E-2</v>
      </c>
    </row>
    <row r="4" spans="1:8" ht="15.75" customHeight="1" x14ac:dyDescent="0.25">
      <c r="B4" s="24" t="s">
        <v>7</v>
      </c>
      <c r="C4" s="79">
        <v>0.18681257035456697</v>
      </c>
    </row>
    <row r="5" spans="1:8" ht="15.75" customHeight="1" x14ac:dyDescent="0.25">
      <c r="B5" s="24" t="s">
        <v>8</v>
      </c>
      <c r="C5" s="79">
        <v>0.10309279155834371</v>
      </c>
    </row>
    <row r="6" spans="1:8" ht="15.75" customHeight="1" x14ac:dyDescent="0.25">
      <c r="B6" s="24" t="s">
        <v>10</v>
      </c>
      <c r="C6" s="79">
        <v>0.14733876602763335</v>
      </c>
    </row>
    <row r="7" spans="1:8" ht="15.75" customHeight="1" x14ac:dyDescent="0.25">
      <c r="B7" s="24" t="s">
        <v>13</v>
      </c>
      <c r="C7" s="79">
        <v>0.1145443339612648</v>
      </c>
    </row>
    <row r="8" spans="1:8" ht="15.75" customHeight="1" x14ac:dyDescent="0.25">
      <c r="B8" s="24" t="s">
        <v>14</v>
      </c>
      <c r="C8" s="79">
        <v>1.0795965812594805E-2</v>
      </c>
    </row>
    <row r="9" spans="1:8" ht="15.75" customHeight="1" x14ac:dyDescent="0.25">
      <c r="B9" s="24" t="s">
        <v>27</v>
      </c>
      <c r="C9" s="79">
        <v>0.1065634490431745</v>
      </c>
    </row>
    <row r="10" spans="1:8" ht="15.75" customHeight="1" x14ac:dyDescent="0.25">
      <c r="B10" s="24" t="s">
        <v>15</v>
      </c>
      <c r="C10" s="79">
        <v>0.29030015724242186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0.10077669501779701</v>
      </c>
      <c r="D14" s="79">
        <v>0.10077669501779701</v>
      </c>
      <c r="E14" s="79">
        <v>9.9010860613857193E-2</v>
      </c>
      <c r="F14" s="79">
        <v>9.9010860613857193E-2</v>
      </c>
    </row>
    <row r="15" spans="1:8" ht="15.75" customHeight="1" x14ac:dyDescent="0.25">
      <c r="B15" s="24" t="s">
        <v>16</v>
      </c>
      <c r="C15" s="79">
        <v>0.16117554941557599</v>
      </c>
      <c r="D15" s="79">
        <v>0.16117554941557599</v>
      </c>
      <c r="E15" s="79">
        <v>0.10681496066962901</v>
      </c>
      <c r="F15" s="79">
        <v>0.10681496066962901</v>
      </c>
    </row>
    <row r="16" spans="1:8" ht="15.75" customHeight="1" x14ac:dyDescent="0.25">
      <c r="B16" s="24" t="s">
        <v>17</v>
      </c>
      <c r="C16" s="79">
        <v>3.6729659287297899E-2</v>
      </c>
      <c r="D16" s="79">
        <v>3.6729659287297899E-2</v>
      </c>
      <c r="E16" s="79">
        <v>4.2692744779975603E-2</v>
      </c>
      <c r="F16" s="79">
        <v>4.2692744779975603E-2</v>
      </c>
    </row>
    <row r="17" spans="1:8" ht="15.75" customHeight="1" x14ac:dyDescent="0.25">
      <c r="B17" s="24" t="s">
        <v>18</v>
      </c>
      <c r="C17" s="79">
        <v>2.3173674118764899E-2</v>
      </c>
      <c r="D17" s="79">
        <v>2.3173674118764899E-2</v>
      </c>
      <c r="E17" s="79">
        <v>6.1564888796968698E-2</v>
      </c>
      <c r="F17" s="79">
        <v>6.1564888796968698E-2</v>
      </c>
    </row>
    <row r="18" spans="1:8" ht="15.75" customHeight="1" x14ac:dyDescent="0.25">
      <c r="B18" s="24" t="s">
        <v>19</v>
      </c>
      <c r="C18" s="79">
        <v>9.3450033292537496E-2</v>
      </c>
      <c r="D18" s="79">
        <v>9.3450033292537496E-2</v>
      </c>
      <c r="E18" s="79">
        <v>0.151525323948972</v>
      </c>
      <c r="F18" s="79">
        <v>0.151525323948972</v>
      </c>
    </row>
    <row r="19" spans="1:8" ht="15.75" customHeight="1" x14ac:dyDescent="0.25">
      <c r="B19" s="24" t="s">
        <v>20</v>
      </c>
      <c r="C19" s="79">
        <v>3.5501608968256701E-2</v>
      </c>
      <c r="D19" s="79">
        <v>3.5501608968256701E-2</v>
      </c>
      <c r="E19" s="79">
        <v>4.0177138032839198E-2</v>
      </c>
      <c r="F19" s="79">
        <v>4.0177138032839198E-2</v>
      </c>
    </row>
    <row r="20" spans="1:8" ht="15.75" customHeight="1" x14ac:dyDescent="0.25">
      <c r="B20" s="24" t="s">
        <v>21</v>
      </c>
      <c r="C20" s="79">
        <v>0.22206818726875099</v>
      </c>
      <c r="D20" s="79">
        <v>0.22206818726875099</v>
      </c>
      <c r="E20" s="79">
        <v>0.10210393288464999</v>
      </c>
      <c r="F20" s="79">
        <v>0.10210393288464999</v>
      </c>
    </row>
    <row r="21" spans="1:8" ht="15.75" customHeight="1" x14ac:dyDescent="0.25">
      <c r="B21" s="24" t="s">
        <v>22</v>
      </c>
      <c r="C21" s="79">
        <v>1.9078716121965902E-2</v>
      </c>
      <c r="D21" s="79">
        <v>1.9078716121965902E-2</v>
      </c>
      <c r="E21" s="79">
        <v>6.0211393323887599E-2</v>
      </c>
      <c r="F21" s="79">
        <v>6.0211393323887599E-2</v>
      </c>
    </row>
    <row r="22" spans="1:8" ht="15.75" customHeight="1" x14ac:dyDescent="0.25">
      <c r="B22" s="24" t="s">
        <v>23</v>
      </c>
      <c r="C22" s="79">
        <v>0.30804587650905313</v>
      </c>
      <c r="D22" s="79">
        <v>0.30804587650905313</v>
      </c>
      <c r="E22" s="79">
        <v>0.33589875694922067</v>
      </c>
      <c r="F22" s="79">
        <v>0.33589875694922067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8.1900000000000001E-2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0.14550000000000002</v>
      </c>
    </row>
    <row r="29" spans="1:8" ht="15.75" customHeight="1" x14ac:dyDescent="0.25">
      <c r="B29" s="24" t="s">
        <v>41</v>
      </c>
      <c r="C29" s="79">
        <v>0.15759999999999999</v>
      </c>
    </row>
    <row r="30" spans="1:8" ht="15.75" customHeight="1" x14ac:dyDescent="0.25">
      <c r="B30" s="24" t="s">
        <v>42</v>
      </c>
      <c r="C30" s="79">
        <v>9.9199999999999997E-2</v>
      </c>
    </row>
    <row r="31" spans="1:8" ht="15.75" customHeight="1" x14ac:dyDescent="0.25">
      <c r="B31" s="24" t="s">
        <v>43</v>
      </c>
      <c r="C31" s="79">
        <v>0.10220000000000001</v>
      </c>
    </row>
    <row r="32" spans="1:8" ht="15.75" customHeight="1" x14ac:dyDescent="0.25">
      <c r="B32" s="24" t="s">
        <v>44</v>
      </c>
      <c r="C32" s="79">
        <v>1.7399999999999999E-2</v>
      </c>
    </row>
    <row r="33" spans="2:3" ht="15.75" customHeight="1" x14ac:dyDescent="0.25">
      <c r="B33" s="24" t="s">
        <v>45</v>
      </c>
      <c r="C33" s="79">
        <v>7.9100000000000004E-2</v>
      </c>
    </row>
    <row r="34" spans="2:3" ht="15.75" customHeight="1" x14ac:dyDescent="0.25">
      <c r="B34" s="24" t="s">
        <v>46</v>
      </c>
      <c r="C34" s="79">
        <v>0.30890000000000001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0.52353710517353569</v>
      </c>
      <c r="D2" s="80">
        <v>0.52353710517353569</v>
      </c>
      <c r="E2" s="80">
        <v>0.4485113212720685</v>
      </c>
      <c r="F2" s="80">
        <v>0.2970254300246985</v>
      </c>
      <c r="G2" s="80">
        <v>0.23808837675177141</v>
      </c>
    </row>
    <row r="3" spans="1:15" ht="15.75" customHeight="1" x14ac:dyDescent="0.25">
      <c r="A3" s="5"/>
      <c r="B3" s="11" t="s">
        <v>118</v>
      </c>
      <c r="C3" s="80">
        <v>0.23544268297177981</v>
      </c>
      <c r="D3" s="80">
        <v>0.23544268297177981</v>
      </c>
      <c r="E3" s="80">
        <v>0.29514938561129667</v>
      </c>
      <c r="F3" s="80">
        <v>0.31182736175350412</v>
      </c>
      <c r="G3" s="80">
        <v>0.34012625250253059</v>
      </c>
    </row>
    <row r="4" spans="1:15" ht="15.75" customHeight="1" x14ac:dyDescent="0.25">
      <c r="A4" s="5"/>
      <c r="B4" s="11" t="s">
        <v>116</v>
      </c>
      <c r="C4" s="81">
        <v>0.16238226137667305</v>
      </c>
      <c r="D4" s="81">
        <v>0.16238226137667305</v>
      </c>
      <c r="E4" s="81">
        <v>0.17770134263862333</v>
      </c>
      <c r="F4" s="81">
        <v>0.2971901764818356</v>
      </c>
      <c r="G4" s="81">
        <v>0.2971901764818356</v>
      </c>
    </row>
    <row r="5" spans="1:15" ht="15.75" customHeight="1" x14ac:dyDescent="0.25">
      <c r="A5" s="5"/>
      <c r="B5" s="11" t="s">
        <v>119</v>
      </c>
      <c r="C5" s="81">
        <v>7.8637950478011476E-2</v>
      </c>
      <c r="D5" s="81">
        <v>7.8637950478011476E-2</v>
      </c>
      <c r="E5" s="81">
        <v>7.8637950478011476E-2</v>
      </c>
      <c r="F5" s="81">
        <v>9.3957031739961755E-2</v>
      </c>
      <c r="G5" s="81">
        <v>0.12459519426386234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0.9078899806029106</v>
      </c>
      <c r="D8" s="80">
        <v>0.9078899806029106</v>
      </c>
      <c r="E8" s="80">
        <v>0.83385155234374997</v>
      </c>
      <c r="F8" s="80">
        <v>0.84962509778260864</v>
      </c>
      <c r="G8" s="80">
        <v>0.87334004659168374</v>
      </c>
    </row>
    <row r="9" spans="1:15" ht="15.75" customHeight="1" x14ac:dyDescent="0.25">
      <c r="B9" s="7" t="s">
        <v>121</v>
      </c>
      <c r="C9" s="80">
        <v>5.2935279397089391E-2</v>
      </c>
      <c r="D9" s="80">
        <v>5.2935279397089391E-2</v>
      </c>
      <c r="E9" s="80">
        <v>0.12597757265624998</v>
      </c>
      <c r="F9" s="80">
        <v>0.11708614421739129</v>
      </c>
      <c r="G9" s="80">
        <v>0.10392147007498295</v>
      </c>
    </row>
    <row r="10" spans="1:15" ht="15.75" customHeight="1" x14ac:dyDescent="0.25">
      <c r="B10" s="7" t="s">
        <v>122</v>
      </c>
      <c r="C10" s="81">
        <v>2.5451749999999999E-2</v>
      </c>
      <c r="D10" s="81">
        <v>2.5451749999999999E-2</v>
      </c>
      <c r="E10" s="81">
        <v>3.3468595599999998E-2</v>
      </c>
      <c r="F10" s="81">
        <v>2.9212367999999999E-2</v>
      </c>
      <c r="G10" s="81">
        <v>1.6815094233333334E-2</v>
      </c>
    </row>
    <row r="11" spans="1:15" ht="15.75" customHeight="1" x14ac:dyDescent="0.25">
      <c r="B11" s="7" t="s">
        <v>123</v>
      </c>
      <c r="C11" s="81">
        <v>1.3722989999999999E-2</v>
      </c>
      <c r="D11" s="81">
        <v>1.3722989999999999E-2</v>
      </c>
      <c r="E11" s="81">
        <v>6.7022793999999995E-3</v>
      </c>
      <c r="F11" s="81">
        <v>4.07639E-3</v>
      </c>
      <c r="G11" s="81">
        <v>5.923389099999999E-3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0.92287291025000007</v>
      </c>
      <c r="D14" s="82">
        <v>0.92046457879800003</v>
      </c>
      <c r="E14" s="82">
        <v>0.92046457879800003</v>
      </c>
      <c r="F14" s="82">
        <v>0.65915158875500002</v>
      </c>
      <c r="G14" s="82">
        <v>0.65915158875500002</v>
      </c>
      <c r="H14" s="83">
        <v>0.41799999999999998</v>
      </c>
      <c r="I14" s="83">
        <v>0.41799999999999998</v>
      </c>
      <c r="J14" s="83">
        <v>0.41799999999999998</v>
      </c>
      <c r="K14" s="83">
        <v>0.41799999999999998</v>
      </c>
      <c r="L14" s="83">
        <v>0.50387126232099999</v>
      </c>
      <c r="M14" s="83">
        <v>0.30772150349999999</v>
      </c>
      <c r="N14" s="83">
        <v>0.32862500184699994</v>
      </c>
      <c r="O14" s="83">
        <v>0.35603378418600001</v>
      </c>
    </row>
    <row r="15" spans="1:15" ht="15.75" customHeight="1" x14ac:dyDescent="0.25">
      <c r="B15" s="16" t="s">
        <v>68</v>
      </c>
      <c r="C15" s="80">
        <f>iron_deficiency_anaemia*C14</f>
        <v>0.42946924105003559</v>
      </c>
      <c r="D15" s="80">
        <f t="shared" ref="D15:O15" si="0">iron_deficiency_anaemia*D14</f>
        <v>0.42834849704574229</v>
      </c>
      <c r="E15" s="80">
        <f t="shared" si="0"/>
        <v>0.42834849704574229</v>
      </c>
      <c r="F15" s="80">
        <f t="shared" si="0"/>
        <v>0.30674357153126219</v>
      </c>
      <c r="G15" s="80">
        <f t="shared" si="0"/>
        <v>0.30674357153126219</v>
      </c>
      <c r="H15" s="80">
        <f t="shared" si="0"/>
        <v>0.19452097982839761</v>
      </c>
      <c r="I15" s="80">
        <f t="shared" si="0"/>
        <v>0.19452097982839761</v>
      </c>
      <c r="J15" s="80">
        <f t="shared" si="0"/>
        <v>0.19452097982839761</v>
      </c>
      <c r="K15" s="80">
        <f t="shared" si="0"/>
        <v>0.19452097982839761</v>
      </c>
      <c r="L15" s="80">
        <f t="shared" si="0"/>
        <v>0.23448213314366623</v>
      </c>
      <c r="M15" s="80">
        <f t="shared" si="0"/>
        <v>0.14320164683035333</v>
      </c>
      <c r="N15" s="80">
        <f t="shared" si="0"/>
        <v>0.15292932381671628</v>
      </c>
      <c r="O15" s="80">
        <f t="shared" si="0"/>
        <v>0.16568430754036598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0.80299999999999994</v>
      </c>
      <c r="D2" s="81">
        <v>0.56899999999999995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4.8000000000000001E-2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5.9000000000000004E-2</v>
      </c>
      <c r="D4" s="81">
        <v>0.23300000000000001</v>
      </c>
      <c r="E4" s="81">
        <v>0.93299999999999994</v>
      </c>
      <c r="F4" s="81">
        <v>0.83799999999999997</v>
      </c>
      <c r="G4" s="81">
        <v>0</v>
      </c>
    </row>
    <row r="5" spans="1:7" x14ac:dyDescent="0.25">
      <c r="B5" s="43" t="s">
        <v>169</v>
      </c>
      <c r="C5" s="80">
        <f>1-SUM(C2:C4)</f>
        <v>8.9999999999999969E-2</v>
      </c>
      <c r="D5" s="80">
        <f>1-SUM(D2:D4)</f>
        <v>6.700000000000006E-2</v>
      </c>
      <c r="E5" s="80">
        <f>1-SUM(E2:E4)</f>
        <v>6.700000000000006E-2</v>
      </c>
      <c r="F5" s="80">
        <f>1-SUM(F2:F4)</f>
        <v>0.16200000000000003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0.37884000000000001</v>
      </c>
      <c r="D2" s="144">
        <v>0.37121000000000004</v>
      </c>
      <c r="E2" s="144">
        <v>0.36343000000000003</v>
      </c>
      <c r="F2" s="144">
        <v>0.35569000000000001</v>
      </c>
      <c r="G2" s="144">
        <v>0.34756999999999999</v>
      </c>
      <c r="H2" s="144">
        <v>0.33986</v>
      </c>
      <c r="I2" s="144">
        <v>0.33224999999999999</v>
      </c>
      <c r="J2" s="144">
        <v>0.32488999999999996</v>
      </c>
      <c r="K2" s="144">
        <v>0.31768999999999997</v>
      </c>
      <c r="L2" s="144">
        <v>0.31073000000000001</v>
      </c>
      <c r="M2" s="144">
        <v>0.30395</v>
      </c>
      <c r="N2" s="144">
        <v>0.29729</v>
      </c>
      <c r="O2" s="144">
        <v>0.29071000000000002</v>
      </c>
      <c r="P2" s="144">
        <v>0.28422000000000003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3.567E-2</v>
      </c>
      <c r="D4" s="144">
        <v>3.4860000000000002E-2</v>
      </c>
      <c r="E4" s="144">
        <v>3.4079999999999999E-2</v>
      </c>
      <c r="F4" s="144">
        <v>3.3319999999999995E-2</v>
      </c>
      <c r="G4" s="144">
        <v>3.2579999999999998E-2</v>
      </c>
      <c r="H4" s="144">
        <v>3.1859999999999999E-2</v>
      </c>
      <c r="I4" s="144">
        <v>3.116E-2</v>
      </c>
      <c r="J4" s="144">
        <v>3.048E-2</v>
      </c>
      <c r="K4" s="144">
        <v>2.981E-2</v>
      </c>
      <c r="L4" s="144">
        <v>2.9159999999999998E-2</v>
      </c>
      <c r="M4" s="144">
        <v>2.8530000000000003E-2</v>
      </c>
      <c r="N4" s="144">
        <v>2.7910000000000001E-2</v>
      </c>
      <c r="O4" s="144">
        <v>2.7309999999999997E-2</v>
      </c>
      <c r="P4" s="144">
        <v>2.673E-2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0.33108323570089648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0.19452097982839761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0.16544466993121962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0.60799999999999998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0.8696666666666667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65.161000000000001</v>
      </c>
      <c r="D13" s="143">
        <v>61.938000000000002</v>
      </c>
      <c r="E13" s="143">
        <v>59.015000000000001</v>
      </c>
      <c r="F13" s="143">
        <v>56.445</v>
      </c>
      <c r="G13" s="143">
        <v>54.201999999999998</v>
      </c>
      <c r="H13" s="143">
        <v>52.109000000000002</v>
      </c>
      <c r="I13" s="143">
        <v>50.158000000000001</v>
      </c>
      <c r="J13" s="143">
        <v>48.331000000000003</v>
      </c>
      <c r="K13" s="143">
        <v>46.634999999999998</v>
      </c>
      <c r="L13" s="143">
        <v>45.011000000000003</v>
      </c>
      <c r="M13" s="143">
        <v>43.482999999999997</v>
      </c>
      <c r="N13" s="143">
        <v>42.045000000000002</v>
      </c>
      <c r="O13" s="143">
        <v>40.667000000000002</v>
      </c>
      <c r="P13" s="143">
        <v>39.356999999999999</v>
      </c>
    </row>
    <row r="14" spans="1:16" x14ac:dyDescent="0.25">
      <c r="B14" s="16" t="s">
        <v>170</v>
      </c>
      <c r="C14" s="143">
        <f>maternal_mortality</f>
        <v>6.34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0.51500000000000001</v>
      </c>
      <c r="E2" s="92">
        <f>food_insecure</f>
        <v>0.51500000000000001</v>
      </c>
      <c r="F2" s="92">
        <f>food_insecure</f>
        <v>0.51500000000000001</v>
      </c>
      <c r="G2" s="92">
        <f>food_insecure</f>
        <v>0.51500000000000001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0.51500000000000001</v>
      </c>
      <c r="F5" s="92">
        <f>food_insecure</f>
        <v>0.51500000000000001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0.13063515595567307</v>
      </c>
      <c r="D7" s="92">
        <f>diarrhoea_1_5mo/26</f>
        <v>0.18309792678423076</v>
      </c>
      <c r="E7" s="92">
        <f>diarrhoea_6_11mo/26</f>
        <v>0.18309792678423076</v>
      </c>
      <c r="F7" s="92">
        <f>diarrhoea_12_23mo/26</f>
        <v>0.11878210019192308</v>
      </c>
      <c r="G7" s="92">
        <f>diarrhoea_24_59mo/26</f>
        <v>0.11878210019192308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0.51500000000000001</v>
      </c>
      <c r="F8" s="92">
        <f>food_insecure</f>
        <v>0.51500000000000001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0.77599999999999991</v>
      </c>
      <c r="E9" s="92">
        <f>IF(ISBLANK(comm_deliv), frac_children_health_facility,1)</f>
        <v>0.77599999999999991</v>
      </c>
      <c r="F9" s="92">
        <f>IF(ISBLANK(comm_deliv), frac_children_health_facility,1)</f>
        <v>0.77599999999999991</v>
      </c>
      <c r="G9" s="92">
        <f>IF(ISBLANK(comm_deliv), frac_children_health_facility,1)</f>
        <v>0.77599999999999991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0.13063515595567307</v>
      </c>
      <c r="D11" s="92">
        <f>diarrhoea_1_5mo/26</f>
        <v>0.18309792678423076</v>
      </c>
      <c r="E11" s="92">
        <f>diarrhoea_6_11mo/26</f>
        <v>0.18309792678423076</v>
      </c>
      <c r="F11" s="92">
        <f>diarrhoea_12_23mo/26</f>
        <v>0.11878210019192308</v>
      </c>
      <c r="G11" s="92">
        <f>diarrhoea_24_59mo/26</f>
        <v>0.11878210019192308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0.51500000000000001</v>
      </c>
      <c r="I14" s="92">
        <f>food_insecure</f>
        <v>0.51500000000000001</v>
      </c>
      <c r="J14" s="92">
        <f>food_insecure</f>
        <v>0.51500000000000001</v>
      </c>
      <c r="K14" s="92">
        <f>food_insecure</f>
        <v>0.51500000000000001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0.50600000000000001</v>
      </c>
      <c r="I17" s="92">
        <f>frac_PW_health_facility</f>
        <v>0.50600000000000001</v>
      </c>
      <c r="J17" s="92">
        <f>frac_PW_health_facility</f>
        <v>0.50600000000000001</v>
      </c>
      <c r="K17" s="92">
        <f>frac_PW_health_facility</f>
        <v>0.50600000000000001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0.77</v>
      </c>
      <c r="I18" s="92">
        <f>frac_malaria_risk</f>
        <v>0.77</v>
      </c>
      <c r="J18" s="92">
        <f>frac_malaria_risk</f>
        <v>0.77</v>
      </c>
      <c r="K18" s="92">
        <f>frac_malaria_risk</f>
        <v>0.77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0.254</v>
      </c>
      <c r="M23" s="92">
        <f>famplan_unmet_need</f>
        <v>0.254</v>
      </c>
      <c r="N23" s="92">
        <f>famplan_unmet_need</f>
        <v>0.254</v>
      </c>
      <c r="O23" s="92">
        <f>famplan_unmet_need</f>
        <v>0.254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0.41393200057697277</v>
      </c>
      <c r="M24" s="92">
        <f>(1-food_insecure)*(0.49)+food_insecure*(0.7)</f>
        <v>0.59814999999999996</v>
      </c>
      <c r="N24" s="92">
        <f>(1-food_insecure)*(0.49)+food_insecure*(0.7)</f>
        <v>0.59814999999999996</v>
      </c>
      <c r="O24" s="92">
        <f>(1-food_insecure)*(0.49)+food_insecure*(0.7)</f>
        <v>0.59814999999999996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0.17739942881870263</v>
      </c>
      <c r="M25" s="92">
        <f>(1-food_insecure)*(0.21)+food_insecure*(0.3)</f>
        <v>0.25634999999999997</v>
      </c>
      <c r="N25" s="92">
        <f>(1-food_insecure)*(0.21)+food_insecure*(0.3)</f>
        <v>0.25634999999999997</v>
      </c>
      <c r="O25" s="92">
        <f>(1-food_insecure)*(0.21)+food_insecure*(0.3)</f>
        <v>0.25634999999999997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0.1006889677906036</v>
      </c>
      <c r="M26" s="92">
        <f>(1-food_insecure)*(0.3)</f>
        <v>0.14549999999999999</v>
      </c>
      <c r="N26" s="92">
        <f>(1-food_insecure)*(0.3)</f>
        <v>0.14549999999999999</v>
      </c>
      <c r="O26" s="92">
        <f>(1-food_insecure)*(0.3)</f>
        <v>0.14549999999999999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0.307979602813721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0.77</v>
      </c>
      <c r="D33" s="92">
        <f t="shared" si="3"/>
        <v>0.77</v>
      </c>
      <c r="E33" s="92">
        <f t="shared" si="3"/>
        <v>0.77</v>
      </c>
      <c r="F33" s="92">
        <f t="shared" si="3"/>
        <v>0.77</v>
      </c>
      <c r="G33" s="92">
        <f t="shared" si="3"/>
        <v>0.77</v>
      </c>
      <c r="H33" s="92">
        <f t="shared" si="3"/>
        <v>0.77</v>
      </c>
      <c r="I33" s="92">
        <f t="shared" si="3"/>
        <v>0.77</v>
      </c>
      <c r="J33" s="92">
        <f t="shared" si="3"/>
        <v>0.77</v>
      </c>
      <c r="K33" s="92">
        <f t="shared" si="3"/>
        <v>0.77</v>
      </c>
      <c r="L33" s="92">
        <f t="shared" si="3"/>
        <v>0.77</v>
      </c>
      <c r="M33" s="92">
        <f t="shared" si="3"/>
        <v>0.77</v>
      </c>
      <c r="N33" s="92">
        <f t="shared" si="3"/>
        <v>0.77</v>
      </c>
      <c r="O33" s="92">
        <f t="shared" si="3"/>
        <v>0.77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2020-03-24T06:49:47Z</dcterms:modified>
</cp:coreProperties>
</file>