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4466066D-D00E-4892-921B-A46BF8FB8E7A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H14" i="2"/>
  <c r="H15" i="2"/>
  <c r="C20" i="1"/>
  <c r="G3" i="2"/>
  <c r="G5" i="2"/>
  <c r="G6" i="2"/>
  <c r="G7" i="2"/>
  <c r="I7" i="2" s="1"/>
  <c r="G8" i="2"/>
  <c r="G9" i="2"/>
  <c r="G10" i="2"/>
  <c r="G11" i="2"/>
  <c r="G12" i="2"/>
  <c r="G13" i="2"/>
  <c r="G14" i="2"/>
  <c r="G15" i="2"/>
  <c r="G2" i="2"/>
  <c r="I22" i="2"/>
  <c r="I31" i="2"/>
  <c r="I27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4" i="2"/>
  <c r="I13" i="2"/>
  <c r="I11" i="2"/>
  <c r="I10" i="2"/>
  <c r="I9" i="2"/>
  <c r="I8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623C3B6E-02C7-4C3B-8A24-95CD71AB1C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277D965-5B72-4662-8B8D-CB682389D56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523B1D49-D611-4B18-B843-1159910CD941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092EF09A-A23F-437C-834F-8BAA271D8E1B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FB5A1095-1053-4CFA-B169-42D836D1C25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D72AA312-C091-4863-AF78-5E16695BEE62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02552B7D-EF48-479A-A4B6-EFD046C3FCF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89D6D384-BCB0-4B47-B3D0-D5869877257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0FA9C79-F3A2-42C0-B02E-AC46FA26BFD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8FD9E71-EE66-4318-BD6C-DA547BD4710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F8BC7BB3-0E27-4762-B5AF-DD99D3DFC19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695C6F73-00C9-48F4-9580-571241DE809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D6A12474-EE6F-4E79-B539-C5759233901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2A93C495-270E-4419-9F53-7F3F30713B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9A096361-74F0-4619-8583-C98900B619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1ECD0BB-4117-448C-888B-0505B2CCFF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AB900FC4-9CCE-4947-AE89-A0E7BCA31BA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8A36595-D8FF-4F78-98FA-347BE71EBD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2D37562-C567-471E-A74B-A31E7DB2487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1E2509CD-D9A8-4C38-AB9A-C7F2A7C8F56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375E0278-FEAC-4496-83E4-EE5BE81006D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96CF3698-E143-4072-889B-0E5525C676F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7A7549C6-1F59-4BFB-843E-999DA838561A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7D3190AB-8504-4304-8AC4-A6FBAEB23BB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724BA942-3676-427C-9BA2-EB0EB75BECA9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61DF4B4D-259A-44AF-AD0C-70CC841994C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DC6D9530-DCB2-4394-82CC-163597D899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5A5E7B90-FEBA-499B-9047-D11C2351DB39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BB21A04B-B65E-4A94-968D-77ED432F2F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7115F55B-7F15-4AFC-A843-B44D7CC8D8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4565C8EC-25DE-4D68-A319-B4013936AF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D7ABA431-9565-45D8-8F75-A062DAEA5C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BC869D2B-467A-4FB9-88FF-5752C7B177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5B886415-3607-4C6C-807A-74E1F4DC22FD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6FCF7D75-27CE-423F-BDB3-64D66B6F021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695FE96-1CD1-42CA-BA00-C5330DD588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2AB1565-9E18-4FAA-8071-80C2B50E6A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9CC51BA8-6CED-4F88-9C16-C05BF0743D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8C74D118-15EE-4ACB-8B8C-760E7BE8E7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4C1D81A3-9C0B-4F66-80DF-3A0E91B868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CA5BB3BF-0EA6-4760-9862-01AF906D76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46F9465A-EC66-4212-B333-B07E79ECCB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B4B5C24B-9DB9-44C1-9DE1-054B0F61A8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64E2E1A9-C862-4F2F-8681-A962C545EC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2BCAFA10-2E79-40E7-B0E4-E2ED5D3495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2D667A16-5232-458D-8FDB-B6FAF34AC3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18EA0285-7491-4670-9C9E-9523C6A245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880FD0B7-1C0D-42F2-88C7-EE3FEB0FFA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1B5E7741-C635-4297-B163-24D4E00D65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D10AF65-E9C0-412A-84CF-642CE77006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7023DD7B-A5E7-4AFE-B837-9B52D2A248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00686CDB-7FBB-400C-A7C4-C59BF9B2C9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E973A82E-62B8-4B6A-B622-FABB86A2A0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E773780F-5F6B-4C43-8C52-9B14D85FE8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E580BDDC-B3C9-4ED8-A239-06F9764ED3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FA89C621-3D1F-43AC-8543-939898DC3E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0C6BFAA5-1075-4224-B1DE-1AA3E3352C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23283888-AF7A-4AC3-9991-C346395E74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193597EB-AF79-4DF6-8123-4B8F6CFE8E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22EA8F91-AF0C-4978-BEF1-70C672CF8E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71B2DBE-B233-44B9-AE9E-CF4F0F72B6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CAD5CF79-1929-43DD-90A6-6EB80998C8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56987B1-AEAC-498E-B376-2DB3F639B7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041BDE17-7E6F-4797-BD95-9D8C7C5731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5601F5FF-F4E1-4E31-9641-CC46953A7D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3333A142-5C21-44B9-A846-8061F063E5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CDBAE13-0789-40B3-A1D4-9731953B8E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1F5BFE60-DA36-4E06-8C69-37BF5108A0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F41859CD-4AF6-473D-83C9-D7CF6BD71A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623DA49C-4F17-4F8E-A498-986618748A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49E03083-EF72-4A86-8BFD-FF89D33E35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AC350D42-200D-4FFF-BE33-BED5930D7B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E2210862-8EDC-4FD8-8EF7-C1F2F60960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8889687A-FD80-4622-890C-733A9ED4FF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BD8490A8-0485-411C-A0E7-028070D04D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8CB860D1-CEE2-4753-9674-8179706B67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C424628A-0E0C-46A8-8551-117B116FA3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2F8056D9-CF34-4DAE-86D5-549A19D19E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DC0043FA-9E56-4BD9-A5A1-37C34FCB16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30581E75-9B68-456E-837C-2E55DB6C62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DDF884D9-4261-4254-B52E-A0178CD63D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18BC90B2-558C-4DC4-91A4-C1477786CE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2160C534-5742-4FEB-94A3-4139DC5EDE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6315B7CD-2D8D-4109-91C3-61B81AC7A3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EA736780-BF49-4DB2-8648-92D1F8CA7E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60DD8AD-8C07-491F-AE01-BE35401349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5AD4D556-84E2-4059-BB3E-EF0C7630E9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EB8C60BE-53BC-4B63-B40B-2FEBDF3719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8C3386FB-7476-4A21-9512-639E054863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9CD4BA55-0AF9-42E6-AAFB-052F9CCEA6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E687358F-6B07-463E-A984-841145EA57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DEAC49B-639A-46C3-B715-4202595E4A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F045BB4C-2351-4CA4-A044-DFBED7C823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C3750126-4F24-48A0-813A-B01CCD182A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56CB3DD5-CE3B-4CCA-8875-2C0C1D2C96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9749037-2759-41D8-9196-B885810217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B34BBFB3-1CC5-4179-82B1-6070996FEC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B3F33DB9-3992-433E-B132-097C0FFAF2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595CA05A-4403-45E0-A887-B6E677B170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7C0E3E23-4120-408C-B104-2AEFA2F6D6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4A4E3543-CBF1-452A-9466-FD4585D05C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DAA6554E-E094-4F18-A3EE-6C897397EC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970CEF70-5575-43D1-A830-773AAC8793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D0CD3424-C047-42EB-B291-9747B3AB70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47CAA4C4-BC07-4305-A702-CEC2E60A70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B7950674-DC55-419E-ADF0-E6A7EA7984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4B12E79-44EC-4E44-8E6E-095A2C0581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C064E169-82C7-4098-9D8E-67F508711C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454B1FA-14AF-44B1-8E07-D7330E36F1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32ACE0CF-935B-4494-8B32-A4268CE221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9042FC9-8DE7-4C39-A97C-B911C89CD0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56FA579A-FA7A-41A2-BD03-B7AB61B320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6A911D7F-1089-412F-93AB-994D05D89E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367FCDCC-EB10-49EB-BDB2-44076A71069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AA45E3AF-DD3E-42CD-BB51-B67564B204B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F72EE68-6C83-44AC-8C46-E72EFD48B5A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4B899634-DB96-4A44-AF7E-0146EA3B120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645DBCA6-4A89-4D2E-9845-F2C8AA761A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766DEF12-8444-464F-8D7D-9F94CDE28A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8A810CFA-3561-46F9-9F02-9AB109DE41B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524B7344-C77D-45B1-84DD-9937EC9D190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2C6531B-B6A8-4119-90BD-1B03EA710D6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1EC3C46-02A2-4E55-8420-483E0FC2823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3483F020-EE91-42B5-BDA2-3151E7BFC3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25261315-04FE-43F2-A9BB-B20ED3D9A47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20536695-E41A-42BA-9F1C-983FA0647F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37F6D0FB-5809-4EB0-9965-FE01E9FACD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59878DAA-DB15-4B85-9AAA-780FE1F15D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1C9A6196-0DC7-444B-A685-CD52EE15BBF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840B9C74-A8A4-4032-A992-CDD49825EAD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194C1ADC-F81A-447D-9698-0E5AF2B6CDB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48F1204A-019A-46D3-9362-EAD94078BEF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D953FCAC-FB77-4F00-B1D3-E84EA9FC990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62F52168-9974-43FB-9052-27F98DDF02B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06147BA0-7C5F-4840-9319-1FF5C561F71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543A9018-2E98-40EC-BA8C-1C1C51AECD1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7EB09886-7342-4AC4-A090-4CE478D1129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0D676174-9AC6-459D-8169-1F20A5C729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9036AFFE-7590-4116-A275-D5F9AFDC352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EFAE4E9C-D12D-47F3-B13B-7C3B5C58FD0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AC9FB74-432F-4595-8754-5F8A2477A77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5F986ED0-EAB9-4640-AB10-E4369D6139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65C3E22A-A565-46FC-AB02-713A0C1C82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0C81A2B9-58B1-40FE-8CF1-9DB2BFACE41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00ADC75C-830A-417E-B0DB-D08A5E267B1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F873141B-979A-47D0-87DB-FED778F270A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FB2EADCA-3B47-44B2-8784-66A1AEEC03F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6864CA58-CC4D-4018-B540-586A0440961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98A8F4C-3212-4C04-B06C-BE4DD5338BC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FC05CA0B-A922-45A7-8B1D-F5363556CC6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95F20416-E046-4629-813C-2A545C2463F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13D4F499-EE6C-44A1-97E4-F245577047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BAB0950-CF84-4DA3-8B34-A249B5F35A6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A9AB7C2-9CF7-4196-80E3-1A8E5CAF47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BE3AA68-A7B4-4C6F-A697-EF0826BD7BB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28FAB0D-F2C0-49CB-BEF0-4F59A54DA0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20B86BB4-689B-4A80-A705-99475FEE4B4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7FE8FFF7-9B0B-4772-8925-81EF8233A52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567F217-CECE-456A-83AC-890B84C09D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8FEF7ACB-4140-4E4D-9F43-2F93102754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0ABF58CF-007F-41BD-9A7E-52E00F4A3D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07487AD-FA00-4E18-B986-46A605C0CA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2F50B5B0-2493-472A-A86E-BA0AA6CB34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24949BB7-EBB2-4E79-9B39-1650042024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5C05328-EB69-4E10-A8DF-0E68BEAACF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71777487-8E40-42A9-9A30-9895E7369E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AB48B073-68C4-44D2-8174-1FC9EE04E3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5E0CE59F-DF24-49DC-926C-5CF8BF1F10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38A30AF6-994C-4B9E-B95B-B1EC39B559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6C162192-9301-4321-AE08-147B11EA1E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D0436FFF-B8F3-41E1-8BAD-0C9BC3BC35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9A7E04E9-D339-43A1-B6B5-01273B1F9E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07442869-F8A4-494B-89D7-F553E24592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F4E5FFDB-F686-482B-A353-6FAE97821F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4D6F581A-D638-411A-AAB3-34201FDAB6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6A55DDC0-A8B8-447F-AC43-653988CCA68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1DAEC89D-E41C-4050-A914-24EB921911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ED3B06A0-D9F9-4B63-8D46-36B5AAF686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33E6EFB0-D478-42D8-A75E-0DCA0A6773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735A2ABD-8A31-48F1-B80E-35D435DA2F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CA3BC08D-62A5-40B9-8D77-3405FC3C06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85A20AA9-D418-4F31-9EC8-C2729C7DA4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005EFCF6-1991-409B-A984-94AEC88DFC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5E7DFD90-D2A1-4A02-AB11-C6B9026AC6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91A5A6D4-11B1-4A55-8B0F-D6EF749486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C71D2B24-2037-4570-89FD-B25A75D6ED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96F1B8B3-7238-45FB-A2A6-80F6ED0AF9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F55AB16B-BAB3-4C08-9181-998CBD3CCA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D7F6093E-977A-4026-89FE-DB23790032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0AD04A85-6DBD-4BE7-892F-0557AE5F08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594CA94B-E274-4544-A7B4-EA316DDA07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D6ABBD3A-48AD-4733-A891-3C46B0AD1B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37C2E79B-8AD2-4B73-89A4-726A495741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37A6B0A1-049B-4395-8573-1B7C1804A9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59317FA1-E92A-43D2-AA76-17DCC55225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8434B630-75F1-468D-A0BB-59AC2BB005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CB883FA2-3CAE-46F2-83A4-0569E280BB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2617CB99-B232-46EE-A816-6340B5CEFA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602D20F6-F5D4-47DA-85D1-B98DF7B147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057726D3-DAEC-4270-8139-95E04EBFEBA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ABC6850-C8B6-429F-8B03-8478AD4BA4B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3A292516-9C0C-4F53-BACB-A738C5343E3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AB12146C-4E4C-4E3D-981C-7B5D78B24CE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B18F376E-CCCA-47FF-988E-2586052DA71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5F0EBD9-123D-49B8-8E03-5A9F4849A59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CA1F7C25-D78C-42A7-81BC-663B88D2180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4E16BA4A-FCD3-4317-AA5F-B3864648398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473AA48F-1543-40A2-9112-C9945B1DF2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88C71E57-C5C7-403E-B5DB-C7C893042D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CF845E02-692D-48C1-940C-CFDE192B42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5C85FA44-F0F8-4B0A-AF2E-C8B2808EA1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D1461CF7-F76E-4247-AC7D-3C7ED65DC87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C3DD245A-BC3B-4F53-ABBC-A2179269007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0E9747C3-8092-40F2-8766-3A7737E186F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70AF93F-DC94-433E-8F06-CDEACCB569EB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6D204A6E-1F81-4428-A7DE-2B628BDAE19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485E1A23-E10E-4D23-8434-27813D8D020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EA49975A-F5D1-4B5A-BEBD-303C534AC27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FBBE30C3-871E-40D9-B0D6-0CE65C20D8B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02196D4-0FAA-460B-8DD4-508AEC56ED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3504273-78E5-4FB0-8F01-900DB7C053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2715FA24-81C9-4099-9303-68A9FD4957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07FBA1DA-C67C-47EE-A178-9C17E01DFA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A7F0E038-B913-4C6B-95E5-277295C705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8DC21C1F-BA0D-4D86-BFB2-FF8D57C634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A30E7F5C-0AF8-4E31-AB31-7E52D60E28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D2B8DA1F-C1A4-44B4-A1E8-B90C576FE5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3D3126C7-02E4-40D0-A15B-BFCEB7F85E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EA1FE42B-614D-464F-9F2B-956BB3D724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026CD3B-B934-428F-8505-7A770A25BB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772BE012-4F5E-44B1-8FB6-FA0B72693C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B9089485-7CA0-4639-8CA0-0411F7A412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69FF0249-5247-47BB-A6E2-CBAE2B2F9F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42DEDD1-7625-4673-AE16-03BD5A4C33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71F4112-009E-417A-BBB1-79EA951D3E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8A245167-4A79-41A1-A250-9628B9A912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383FC1F-5835-4141-BC97-CA64A75072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FD1457D-B37D-4B9C-8F8A-575ED58DCE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175EF822-13FE-42C8-9BA6-F24220E52C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A858E427-0347-46B3-B729-2361D34F32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A86FA1B6-63F9-40FE-8BFD-767B828A56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8A39EE56-B840-437F-8C15-35021884E7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7163E131-624B-4C69-A0C1-6D82138BA5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ECA09340-D5E6-4EBC-BFBD-5D33B992A5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4348F510-B29D-435B-A836-13984537F2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2157343E-01FD-4A18-8F41-9C3942F37D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7BC65497-56DB-4B5C-ADD1-F954B8E4C8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60FF4C24-6493-4192-BE5E-9036C3A467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7A0E4EC4-D9B9-4517-96E8-618A2D15F1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8C01E295-D32B-4A4A-9E4F-E8F8D741EC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7CB32F10-4C8E-40CB-BBB5-8A9680F814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0ED41300-9BFB-4066-8070-117719F67E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52FD9C31-C404-4765-B07A-012B035284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6C348316-4AA3-4290-885A-FB7419D6DB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0AA9CAD-8460-450A-ACEC-FCD58D39E3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5F70D577-60D8-4729-B556-41B57EBB51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1BE8A46-4A7B-404F-8041-C8F1EB133D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A872576-9B46-4E68-84BC-EC6FC31FB2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DA533837-E0D3-4C7F-853D-3CF5939159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A9E3F5F-77F8-4E54-B8B1-279D59591F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F020D9FE-7785-4A8B-A46C-1E25B953B6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5322A9C-3014-473F-9EB2-44CCC4786FC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D3B5B229-3648-4473-A4AB-42C58F212B7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11D5AA41-DBCA-4599-8591-07F47821B5C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742816B3-53A1-4C66-9E5D-0F01462B61C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575A4594-9702-4E1E-B345-D4732FABD02E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ED16EE4B-F55B-46EE-A066-C7FAA9C37ED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5B0618BE-5AE2-4378-B1E3-B02780BA27B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0FF5DDC0-5352-4584-BDB5-1DF1A5D6EC9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8B1E590B-B811-4FB5-9009-4972E8368D2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1D9DFEB-DECA-429C-9307-20245FF0727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6C14F413-DE31-4B26-861E-D2E40B82297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46053685-61CA-4994-BBC3-E505952CF55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A359A0E2-56CE-43E5-95F3-AB1554D7428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5E772226-4E3A-4F61-A246-9E5511CEE21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0FAD8745-A55E-490A-AF92-C30A9965825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87EE819A-3248-4023-8C06-7ED242E6C5A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45465F86-B592-4DA6-B9A9-87C6ED35977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7EBBC7CE-C94B-4940-95E6-D58C73C65EF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3E06F3C1-53C0-40D7-A2C9-7AACF452234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F4FE061-5999-400F-A5F9-367435CA220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A35D7176-533D-447C-8C00-B6EB6C4E5A8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02CDD45-FEBC-4313-A96B-8053D759AA7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17777F6E-B363-4FC1-B32A-AC571104A47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129A51D-A21C-445C-8C50-91CBB8E155A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68301460-DFE2-44CB-95E8-FB78AADAA06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631B0255-C8D1-4411-8DF9-4F02529B109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5C0E680C-739C-4D85-9DEA-62C7BAD7B65E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8CD140D6-99B1-4FD7-95FA-E7727B4793FE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0CE58289-55A3-4947-8FD5-BF13E9924C9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CF01C6DD-1187-4688-B786-3B78AB5EF9E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D7DD187C-E297-43E4-9AD8-100C4120B1B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0EAA2A9-66B0-4437-91D1-DCB8A156E80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ECB179E4-F200-4DCB-B6D8-FFA160A208C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41FE302C-B4A1-4CD9-9B5C-D802FEDA9EA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F375ED7D-C9D7-428D-8F8C-D2F32F03681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CCCCE443-BD11-455E-A5B1-AAEE6284F66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2B8F157B-4344-4F05-9603-55E1158EF33E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3AEDB82-41E4-44E8-8AAC-DD4D67101D2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1728E3CC-D1AC-404C-A085-25AFEB47472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75AA7F88-3A46-48C6-A506-3CA794912A1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7FDA85BD-5EA7-4C94-8B0E-D197A117446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DE83A9DD-78B7-4036-A6DE-9C44ADF5F10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7CC5D056-BCE0-41E9-8700-EF9D39773360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C8C206CA-4D5F-4849-935D-1087B20DD51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4B8C417F-1E31-4FEA-A685-BA496896133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BECC3DAA-AF54-4303-AFE1-31977200BEB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CA934ADE-71EE-422C-B719-6FEE4324415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23C674EF-1C06-4C88-B93D-D6F80F84680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3D509D0B-EB8F-481C-8C6E-E0906BDC079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C84211C5-EBA9-4D7F-92D9-947A13EAF3D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F8C4653A-C8D6-4C8C-93EC-74F8176F642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0A98A7C2-4C72-4BE5-8BDE-CC6BA746CA4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BAB67966-22DC-4F5D-A379-9BB316010D2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F02A6E4E-E59A-4FCC-B6E6-17D0D1A259A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A019DB09-89B9-442C-B361-8AADAC8C20E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84282E9A-C20B-4D9E-971F-13D6E418F65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9A5D8E20-6330-46E9-AD24-53DDC71B0B0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F45786FE-9275-4CBF-AE79-1550FC7EA20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7A18B52F-20A6-4005-8861-48203802659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959681A9-F0C2-4E82-B841-02835B766BC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6CE40267-A565-48DC-8F96-768AD4CDA54E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0A18BDE-31FE-401E-A031-8C99D22BF52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<sst xmlns="http://schemas.openxmlformats.org/spreadsheetml/2006/main" count="1102" uniqueCount="271">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</sst>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39146</v>
      </c>
    </row>
    <row r="8" spans="1:3" ht="15" customHeight="1" x14ac:dyDescent="0.25">
      <c r="B8" s="7" t="s">
        <v>106</v>
      </c>
      <c r="C8" s="70">
        <v>8.199999999999999E-2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0.59512580869999998</v>
      </c>
    </row>
    <row r="11" spans="1:3" ht="15" customHeight="1" x14ac:dyDescent="0.25">
      <c r="B11" s="7" t="s">
        <v>108</v>
      </c>
      <c r="C11" s="70">
        <v>0.85099999999999998</v>
      </c>
    </row>
    <row r="12" spans="1:3" ht="15" customHeight="1" x14ac:dyDescent="0.25">
      <c r="B12" s="7" t="s">
        <v>109</v>
      </c>
      <c r="C12" s="70">
        <v>0.74099999999999999</v>
      </c>
    </row>
    <row r="13" spans="1:3" ht="15" customHeight="1" x14ac:dyDescent="0.25">
      <c r="B13" s="7" t="s">
        <v>110</v>
      </c>
      <c r="C13" s="70">
        <v>0.57299999999999995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4.9800000000000004E-2</v>
      </c>
    </row>
    <row r="24" spans="1:3" ht="15" customHeight="1" x14ac:dyDescent="0.25">
      <c r="B24" s="20" t="s">
        <v>102</v>
      </c>
      <c r="C24" s="71">
        <v>0.55979999999999996</v>
      </c>
    </row>
    <row r="25" spans="1:3" ht="15" customHeight="1" x14ac:dyDescent="0.25">
      <c r="B25" s="20" t="s">
        <v>103</v>
      </c>
      <c r="C25" s="71">
        <v>0.36509999999999998</v>
      </c>
    </row>
    <row r="26" spans="1:3" ht="15" customHeight="1" x14ac:dyDescent="0.25">
      <c r="B26" s="20" t="s">
        <v>104</v>
      </c>
      <c r="C26" s="71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0.41899999999999998</v>
      </c>
    </row>
    <row r="30" spans="1:3" ht="14.25" customHeight="1" x14ac:dyDescent="0.25">
      <c r="B30" s="30" t="s">
        <v>76</v>
      </c>
      <c r="C30" s="73">
        <v>3.1E-2</v>
      </c>
    </row>
    <row r="31" spans="1:3" ht="14.25" customHeight="1" x14ac:dyDescent="0.25">
      <c r="B31" s="30" t="s">
        <v>77</v>
      </c>
      <c r="C31" s="73">
        <v>5.5999999999999994E-2</v>
      </c>
    </row>
    <row r="32" spans="1:3" ht="14.25" customHeight="1" x14ac:dyDescent="0.25">
      <c r="B32" s="30" t="s">
        <v>78</v>
      </c>
      <c r="C32" s="73">
        <v>0.49399999999999999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4.5</v>
      </c>
    </row>
    <row r="38" spans="1:5" ht="15" customHeight="1" x14ac:dyDescent="0.25">
      <c r="B38" s="16" t="s">
        <v>91</v>
      </c>
      <c r="C38" s="75">
        <v>6.8</v>
      </c>
      <c r="D38" s="17"/>
      <c r="E38" s="18"/>
    </row>
    <row r="39" spans="1:5" ht="15" customHeight="1" x14ac:dyDescent="0.25">
      <c r="B39" s="16" t="s">
        <v>90</v>
      </c>
      <c r="C39" s="75">
        <v>7.9</v>
      </c>
      <c r="D39" s="17"/>
      <c r="E39" s="17"/>
    </row>
    <row r="40" spans="1:5" ht="15" customHeight="1" x14ac:dyDescent="0.25">
      <c r="B40" s="16" t="s">
        <v>171</v>
      </c>
      <c r="C40" s="75">
        <v>0.68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1.6799999999999999E-2</v>
      </c>
      <c r="D45" s="17"/>
    </row>
    <row r="46" spans="1:5" ht="15.75" customHeight="1" x14ac:dyDescent="0.25">
      <c r="B46" s="16" t="s">
        <v>11</v>
      </c>
      <c r="C46" s="71">
        <v>6.2199999999999998E-2</v>
      </c>
      <c r="D46" s="17"/>
    </row>
    <row r="47" spans="1:5" ht="15.75" customHeight="1" x14ac:dyDescent="0.25">
      <c r="B47" s="16" t="s">
        <v>12</v>
      </c>
      <c r="C47" s="71">
        <v>0.17059999999999997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1.1360546964375</v>
      </c>
      <c r="D51" s="17"/>
    </row>
    <row r="52" spans="1:4" ht="15" customHeight="1" x14ac:dyDescent="0.25">
      <c r="B52" s="16" t="s">
        <v>125</v>
      </c>
      <c r="C52" s="76">
        <v>1.2056803251499899</v>
      </c>
    </row>
    <row r="53" spans="1:4" ht="15.75" customHeight="1" x14ac:dyDescent="0.25">
      <c r="B53" s="16" t="s">
        <v>126</v>
      </c>
      <c r="C53" s="76">
        <v>1.2056803251499899</v>
      </c>
    </row>
    <row r="54" spans="1:4" ht="15.75" customHeight="1" x14ac:dyDescent="0.25">
      <c r="B54" s="16" t="s">
        <v>127</v>
      </c>
      <c r="C54" s="76">
        <v>1.0535150502999899</v>
      </c>
    </row>
    <row r="55" spans="1:4" ht="15.75" customHeight="1" x14ac:dyDescent="0.25">
      <c r="B55" s="16" t="s">
        <v>128</v>
      </c>
      <c r="C55" s="76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0.55836361880873919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94.586213594378066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40.699506896759281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987.5278427956996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7.0964877118934755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2.2989726112411732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2.2989726112411732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2.2989726112411732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2.2989726112411732</v>
      </c>
      <c r="E13" s="86" t="s">
        <v>202</v>
      </c>
    </row>
    <row r="14" spans="1:5" ht="15.75" customHeight="1" x14ac:dyDescent="0.25">
      <c r="A14" s="11" t="s">
        <v>187</v>
      </c>
      <c r="B14" s="85">
        <v>0.64599999999999991</v>
      </c>
      <c r="C14" s="85">
        <v>0.95</v>
      </c>
      <c r="D14" s="86">
        <v>13.83180634055519</v>
      </c>
      <c r="E14" s="86" t="s">
        <v>202</v>
      </c>
    </row>
    <row r="15" spans="1:5" ht="15.75" customHeight="1" x14ac:dyDescent="0.25">
      <c r="A15" s="11" t="s">
        <v>209</v>
      </c>
      <c r="B15" s="85">
        <v>0.64599999999999991</v>
      </c>
      <c r="C15" s="85">
        <v>0.95</v>
      </c>
      <c r="D15" s="86">
        <v>13.83180634055519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1.5385721404505386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0.52700000000000002</v>
      </c>
      <c r="C18" s="85">
        <v>0.95</v>
      </c>
      <c r="D18" s="87">
        <v>22.593555976908476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22.593555976908476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22.593555976908476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89.248141599385079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24.299027096709935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4.7916044727007323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19.508595698257327</v>
      </c>
      <c r="E24" s="86" t="s">
        <v>202</v>
      </c>
    </row>
    <row r="25" spans="1:5" ht="15.75" customHeight="1" x14ac:dyDescent="0.25">
      <c r="A25" s="52" t="s">
        <v>87</v>
      </c>
      <c r="B25" s="85">
        <v>0.64300000000000002</v>
      </c>
      <c r="C25" s="85">
        <v>0.95</v>
      </c>
      <c r="D25" s="86">
        <v>19.418480431484731</v>
      </c>
      <c r="E25" s="86" t="s">
        <v>202</v>
      </c>
    </row>
    <row r="26" spans="1:5" ht="15.75" customHeight="1" x14ac:dyDescent="0.25">
      <c r="A26" s="52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12.874214088075423</v>
      </c>
      <c r="E27" s="86" t="s">
        <v>202</v>
      </c>
    </row>
    <row r="28" spans="1:5" ht="15.75" customHeight="1" x14ac:dyDescent="0.25">
      <c r="A28" s="52" t="s">
        <v>84</v>
      </c>
      <c r="B28" s="85">
        <v>0.748</v>
      </c>
      <c r="C28" s="85">
        <v>0.95</v>
      </c>
      <c r="D28" s="86">
        <v>1.5043286209838456</v>
      </c>
      <c r="E28" s="86" t="s">
        <v>202</v>
      </c>
    </row>
    <row r="29" spans="1:5" ht="15.75" customHeight="1" x14ac:dyDescent="0.25">
      <c r="A29" s="52" t="s">
        <v>58</v>
      </c>
      <c r="B29" s="85">
        <v>0.52700000000000002</v>
      </c>
      <c r="C29" s="85">
        <v>0.95</v>
      </c>
      <c r="D29" s="86">
        <v>197.08344135615161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2.1314125469028462</v>
      </c>
      <c r="E30" s="86" t="s">
        <v>202</v>
      </c>
    </row>
    <row r="31" spans="1:5" ht="15.75" customHeight="1" x14ac:dyDescent="0.25">
      <c r="A31" s="52" t="s">
        <v>28</v>
      </c>
      <c r="B31" s="85">
        <v>0.72149999999999992</v>
      </c>
      <c r="C31" s="85">
        <v>0.95</v>
      </c>
      <c r="D31" s="86">
        <v>3.387837434899573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0.46200000000000002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0.97900000000000009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0.98599999999999999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0.45700000000000002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1.8000000000000002E-2</v>
      </c>
      <c r="C37" s="85">
        <v>0.95</v>
      </c>
      <c r="D37" s="86">
        <v>2.7208464683869873</v>
      </c>
      <c r="E37" s="86" t="s">
        <v>202</v>
      </c>
    </row>
    <row r="38" spans="1:6" ht="15.75" customHeight="1" x14ac:dyDescent="0.25">
      <c r="A38" s="52" t="s">
        <v>60</v>
      </c>
      <c r="B38" s="85">
        <v>0.48299999999999998</v>
      </c>
      <c r="C38" s="85">
        <v>0.95</v>
      </c>
      <c r="D38" s="86">
        <v>3.4089674661393055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0.25516704460000006</v>
      </c>
      <c r="C3" s="26">
        <f>frac_mam_1_5months * 2.6</f>
        <v>0.25516704460000006</v>
      </c>
      <c r="D3" s="26">
        <f>frac_mam_6_11months * 2.6</f>
        <v>0.18882097260000003</v>
      </c>
      <c r="E3" s="26">
        <f>frac_mam_12_23months * 2.6</f>
        <v>0.13619958560000001</v>
      </c>
      <c r="F3" s="26">
        <f>frac_mam_24_59months * 2.6</f>
        <v>0.23681204386666665</v>
      </c>
    </row>
    <row r="4" spans="1:6" ht="15.75" customHeight="1" x14ac:dyDescent="0.25">
      <c r="A4" s="3" t="s">
        <v>66</v>
      </c>
      <c r="B4" s="26">
        <f>frac_sam_1month * 2.6</f>
        <v>0.14612826540000001</v>
      </c>
      <c r="C4" s="26">
        <f>frac_sam_1_5months * 2.6</f>
        <v>0.14612826540000001</v>
      </c>
      <c r="D4" s="26">
        <f>frac_sam_6_11months * 2.6</f>
        <v>0.12763451739999998</v>
      </c>
      <c r="E4" s="26">
        <f>frac_sam_12_23months * 2.6</f>
        <v>4.5362623800000008E-2</v>
      </c>
      <c r="F4" s="26">
        <f>frac_sam_24_59months * 2.6</f>
        <v>5.1221391866666674E-2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7707.3331200000011</v>
      </c>
      <c r="C2" s="78">
        <v>13881</v>
      </c>
      <c r="D2" s="78">
        <v>38611</v>
      </c>
      <c r="E2" s="78">
        <v>35668</v>
      </c>
      <c r="F2" s="78">
        <v>21648</v>
      </c>
      <c r="G2" s="22">
        <f t="shared" ref="G2:G40" si="0">C2+D2+E2+F2</f>
        <v>109808</v>
      </c>
      <c r="H2" s="22">
        <f t="shared" ref="H2:H40" si="1">(B2 + stillbirth*B2/(1000-stillbirth))/(1-abortion)</f>
        <v>8927.7472399545477</v>
      </c>
      <c r="I2" s="22">
        <f>G2-H2</f>
        <v>100880.25276004545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7554.5119999999997</v>
      </c>
      <c r="C3" s="78">
        <v>14000</v>
      </c>
      <c r="D3" s="78">
        <v>38000</v>
      </c>
      <c r="E3" s="78">
        <v>37000</v>
      </c>
      <c r="F3" s="78">
        <v>22000</v>
      </c>
      <c r="G3" s="22">
        <f t="shared" si="0"/>
        <v>111000</v>
      </c>
      <c r="H3" s="22">
        <f t="shared" si="1"/>
        <v>8750.7277299574544</v>
      </c>
      <c r="I3" s="22">
        <f t="shared" ref="I3:I15" si="3">G3-H3</f>
        <v>102249.27227004255</v>
      </c>
    </row>
    <row r="4" spans="1:9" ht="15.75" customHeight="1" x14ac:dyDescent="0.25">
      <c r="A4" s="7">
        <f t="shared" si="2"/>
        <v>2019</v>
      </c>
      <c r="B4" s="77">
        <v>7397.130666666666</v>
      </c>
      <c r="C4" s="78">
        <v>13000</v>
      </c>
      <c r="D4" s="78">
        <v>36000</v>
      </c>
      <c r="E4" s="78">
        <v>40000</v>
      </c>
      <c r="F4" s="78">
        <v>23000</v>
      </c>
      <c r="G4" s="22">
        <f t="shared" si="0"/>
        <v>112000</v>
      </c>
      <c r="H4" s="22">
        <f t="shared" si="1"/>
        <v>8568.4259217430135</v>
      </c>
      <c r="I4" s="22">
        <f t="shared" si="3"/>
        <v>103431.57407825699</v>
      </c>
    </row>
    <row r="5" spans="1:9" ht="15.75" customHeight="1" x14ac:dyDescent="0.25">
      <c r="A5" s="7">
        <f t="shared" si="2"/>
        <v>2020</v>
      </c>
      <c r="B5" s="77">
        <v>7213.6440000000002</v>
      </c>
      <c r="C5" s="78">
        <v>13000</v>
      </c>
      <c r="D5" s="78">
        <v>35000</v>
      </c>
      <c r="E5" s="78">
        <v>41000</v>
      </c>
      <c r="F5" s="78">
        <v>24000</v>
      </c>
      <c r="G5" s="22">
        <f t="shared" si="0"/>
        <v>113000</v>
      </c>
      <c r="H5" s="22">
        <f t="shared" si="1"/>
        <v>8355.8851431887615</v>
      </c>
      <c r="I5" s="22">
        <f t="shared" si="3"/>
        <v>104644.11485681124</v>
      </c>
    </row>
    <row r="6" spans="1:9" ht="15.75" customHeight="1" x14ac:dyDescent="0.25">
      <c r="A6" s="7">
        <f t="shared" si="2"/>
        <v>2021</v>
      </c>
      <c r="B6" s="77">
        <v>7038.6504000000004</v>
      </c>
      <c r="C6" s="78">
        <v>13000</v>
      </c>
      <c r="D6" s="78">
        <v>34000</v>
      </c>
      <c r="E6" s="78">
        <v>42000</v>
      </c>
      <c r="F6" s="78">
        <v>25000</v>
      </c>
      <c r="G6" s="22">
        <f t="shared" si="0"/>
        <v>114000</v>
      </c>
      <c r="H6" s="22">
        <f t="shared" si="1"/>
        <v>8153.1822620383864</v>
      </c>
      <c r="I6" s="22">
        <f t="shared" si="3"/>
        <v>105846.81773796161</v>
      </c>
    </row>
    <row r="7" spans="1:9" ht="15.75" customHeight="1" x14ac:dyDescent="0.25">
      <c r="A7" s="7">
        <f t="shared" si="2"/>
        <v>2022</v>
      </c>
      <c r="B7" s="77">
        <v>6840.6016000000009</v>
      </c>
      <c r="C7" s="78">
        <v>14000</v>
      </c>
      <c r="D7" s="78">
        <v>32000</v>
      </c>
      <c r="E7" s="78">
        <v>42000</v>
      </c>
      <c r="F7" s="78">
        <v>26000</v>
      </c>
      <c r="G7" s="22">
        <f t="shared" si="0"/>
        <v>114000</v>
      </c>
      <c r="H7" s="22">
        <f t="shared" si="1"/>
        <v>7923.7735158421001</v>
      </c>
      <c r="I7" s="22">
        <f t="shared" si="3"/>
        <v>106076.2264841579</v>
      </c>
    </row>
    <row r="8" spans="1:9" ht="15.75" customHeight="1" x14ac:dyDescent="0.25">
      <c r="A8" s="7">
        <f t="shared" si="2"/>
        <v>2023</v>
      </c>
      <c r="B8" s="77">
        <v>6649.0948000000008</v>
      </c>
      <c r="C8" s="78">
        <v>14000</v>
      </c>
      <c r="D8" s="78">
        <v>31000</v>
      </c>
      <c r="E8" s="78">
        <v>42000</v>
      </c>
      <c r="F8" s="78">
        <v>28000</v>
      </c>
      <c r="G8" s="22">
        <f t="shared" si="0"/>
        <v>115000</v>
      </c>
      <c r="H8" s="22">
        <f t="shared" si="1"/>
        <v>7701.9426596285666</v>
      </c>
      <c r="I8" s="22">
        <f t="shared" si="3"/>
        <v>107298.05734037144</v>
      </c>
    </row>
    <row r="9" spans="1:9" ht="15.75" customHeight="1" x14ac:dyDescent="0.25">
      <c r="A9" s="7">
        <f t="shared" si="2"/>
        <v>2024</v>
      </c>
      <c r="B9" s="77">
        <v>6422.4864000000016</v>
      </c>
      <c r="C9" s="78">
        <v>15000</v>
      </c>
      <c r="D9" s="78">
        <v>30000</v>
      </c>
      <c r="E9" s="78">
        <v>42000</v>
      </c>
      <c r="F9" s="78">
        <v>29000</v>
      </c>
      <c r="G9" s="22">
        <f t="shared" si="0"/>
        <v>116000</v>
      </c>
      <c r="H9" s="22">
        <f t="shared" si="1"/>
        <v>7439.4520566986503</v>
      </c>
      <c r="I9" s="22">
        <f t="shared" si="3"/>
        <v>108560.54794330135</v>
      </c>
    </row>
    <row r="10" spans="1:9" ht="15.75" customHeight="1" x14ac:dyDescent="0.25">
      <c r="A10" s="7">
        <f t="shared" si="2"/>
        <v>2025</v>
      </c>
      <c r="B10" s="77">
        <v>6202.42</v>
      </c>
      <c r="C10" s="78">
        <v>15000</v>
      </c>
      <c r="D10" s="78">
        <v>29000</v>
      </c>
      <c r="E10" s="78">
        <v>42000</v>
      </c>
      <c r="F10" s="78">
        <v>31000</v>
      </c>
      <c r="G10" s="22">
        <f t="shared" si="0"/>
        <v>117000</v>
      </c>
      <c r="H10" s="22">
        <f t="shared" si="1"/>
        <v>7184.539343751484</v>
      </c>
      <c r="I10" s="22">
        <f t="shared" si="3"/>
        <v>109815.46065624851</v>
      </c>
    </row>
    <row r="11" spans="1:9" ht="15.75" customHeight="1" x14ac:dyDescent="0.25">
      <c r="A11" s="7">
        <f t="shared" si="2"/>
        <v>2026</v>
      </c>
      <c r="B11" s="77">
        <v>6067.2150000000001</v>
      </c>
      <c r="C11" s="78">
        <v>16000</v>
      </c>
      <c r="D11" s="78">
        <v>29000</v>
      </c>
      <c r="E11" s="78">
        <v>41000</v>
      </c>
      <c r="F11" s="78">
        <v>33000</v>
      </c>
      <c r="G11" s="22">
        <f t="shared" si="0"/>
        <v>119000</v>
      </c>
      <c r="H11" s="22">
        <f t="shared" si="1"/>
        <v>7027.9253701779571</v>
      </c>
      <c r="I11" s="22">
        <f t="shared" si="3"/>
        <v>111972.07462982205</v>
      </c>
    </row>
    <row r="12" spans="1:9" ht="15.75" customHeight="1" x14ac:dyDescent="0.25">
      <c r="A12" s="7">
        <f t="shared" si="2"/>
        <v>2027</v>
      </c>
      <c r="B12" s="77">
        <v>5916.1440000000002</v>
      </c>
      <c r="C12" s="78">
        <v>16000</v>
      </c>
      <c r="D12" s="78">
        <v>28000</v>
      </c>
      <c r="E12" s="78">
        <v>39000</v>
      </c>
      <c r="F12" s="78">
        <v>35000</v>
      </c>
      <c r="G12" s="22">
        <f t="shared" si="0"/>
        <v>118000</v>
      </c>
      <c r="H12" s="22">
        <f t="shared" si="1"/>
        <v>6852.933102127763</v>
      </c>
      <c r="I12" s="22">
        <f t="shared" si="3"/>
        <v>111147.06689787224</v>
      </c>
    </row>
    <row r="13" spans="1:9" ht="15.75" customHeight="1" x14ac:dyDescent="0.25">
      <c r="A13" s="7">
        <f t="shared" si="2"/>
        <v>2028</v>
      </c>
      <c r="B13" s="77">
        <v>5773.32</v>
      </c>
      <c r="C13" s="78">
        <v>17000</v>
      </c>
      <c r="D13" s="78">
        <v>28000</v>
      </c>
      <c r="E13" s="78">
        <v>38000</v>
      </c>
      <c r="F13" s="78">
        <v>37000</v>
      </c>
      <c r="G13" s="22">
        <f t="shared" si="0"/>
        <v>120000</v>
      </c>
      <c r="H13" s="22">
        <f t="shared" si="1"/>
        <v>6687.4937015015621</v>
      </c>
      <c r="I13" s="22">
        <f t="shared" si="3"/>
        <v>113312.50629849844</v>
      </c>
    </row>
    <row r="14" spans="1:9" ht="15.75" customHeight="1" x14ac:dyDescent="0.25">
      <c r="A14" s="7">
        <f t="shared" si="2"/>
        <v>2029</v>
      </c>
      <c r="B14" s="77">
        <v>5615.4319999999998</v>
      </c>
      <c r="C14" s="78">
        <v>18000</v>
      </c>
      <c r="D14" s="78">
        <v>29000</v>
      </c>
      <c r="E14" s="78">
        <v>36000</v>
      </c>
      <c r="F14" s="78">
        <v>38000</v>
      </c>
      <c r="G14" s="22">
        <f t="shared" si="0"/>
        <v>121000</v>
      </c>
      <c r="H14" s="22">
        <f t="shared" si="1"/>
        <v>6504.6049987200295</v>
      </c>
      <c r="I14" s="22">
        <f t="shared" si="3"/>
        <v>114495.39500127998</v>
      </c>
    </row>
    <row r="15" spans="1:9" ht="15.75" customHeight="1" x14ac:dyDescent="0.25">
      <c r="A15" s="7">
        <f t="shared" si="2"/>
        <v>2030</v>
      </c>
      <c r="B15" s="77">
        <v>5454.3360000000002</v>
      </c>
      <c r="C15" s="78">
        <v>18000</v>
      </c>
      <c r="D15" s="78">
        <v>29000</v>
      </c>
      <c r="E15" s="78">
        <v>36000</v>
      </c>
      <c r="F15" s="78">
        <v>40000</v>
      </c>
      <c r="G15" s="22">
        <f t="shared" si="0"/>
        <v>123000</v>
      </c>
      <c r="H15" s="22">
        <f t="shared" si="1"/>
        <v>6318.0003266531603</v>
      </c>
      <c r="I15" s="22">
        <f t="shared" si="3"/>
        <v>116681.99967334684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127.4178994348437</v>
      </c>
      <c r="I17" s="22">
        <f t="shared" si="4"/>
        <v>-127.4178994348437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5.1206412499999994E-3</v>
      </c>
    </row>
    <row r="4" spans="1:8" ht="15.75" customHeight="1" x14ac:dyDescent="0.25">
      <c r="B4" s="24" t="s">
        <v>7</v>
      </c>
      <c r="C4" s="79">
        <v>0.19740486894707487</v>
      </c>
    </row>
    <row r="5" spans="1:8" ht="15.75" customHeight="1" x14ac:dyDescent="0.25">
      <c r="B5" s="24" t="s">
        <v>8</v>
      </c>
      <c r="C5" s="79">
        <v>2.6348790635041201E-2</v>
      </c>
    </row>
    <row r="6" spans="1:8" ht="15.75" customHeight="1" x14ac:dyDescent="0.25">
      <c r="B6" s="24" t="s">
        <v>10</v>
      </c>
      <c r="C6" s="79">
        <v>9.2440220566530867E-2</v>
      </c>
    </row>
    <row r="7" spans="1:8" ht="15.75" customHeight="1" x14ac:dyDescent="0.25">
      <c r="B7" s="24" t="s">
        <v>13</v>
      </c>
      <c r="C7" s="79">
        <v>0.19982038051656975</v>
      </c>
    </row>
    <row r="8" spans="1:8" ht="15.75" customHeight="1" x14ac:dyDescent="0.25">
      <c r="B8" s="24" t="s">
        <v>14</v>
      </c>
      <c r="C8" s="79">
        <v>2.1863433049161658E-5</v>
      </c>
    </row>
    <row r="9" spans="1:8" ht="15.75" customHeight="1" x14ac:dyDescent="0.25">
      <c r="B9" s="24" t="s">
        <v>27</v>
      </c>
      <c r="C9" s="79">
        <v>0.18417285865657726</v>
      </c>
    </row>
    <row r="10" spans="1:8" ht="15.75" customHeight="1" x14ac:dyDescent="0.25">
      <c r="B10" s="24" t="s">
        <v>15</v>
      </c>
      <c r="C10" s="79">
        <v>0.29467037599515689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3.4311423082179403E-2</v>
      </c>
      <c r="D14" s="79">
        <v>3.4311423082179403E-2</v>
      </c>
      <c r="E14" s="79">
        <v>1.6034229087368599E-2</v>
      </c>
      <c r="F14" s="79">
        <v>1.6034229087368599E-2</v>
      </c>
    </row>
    <row r="15" spans="1:8" ht="15.75" customHeight="1" x14ac:dyDescent="0.25">
      <c r="B15" s="24" t="s">
        <v>16</v>
      </c>
      <c r="C15" s="79">
        <v>8.2539581126775494E-2</v>
      </c>
      <c r="D15" s="79">
        <v>8.2539581126775494E-2</v>
      </c>
      <c r="E15" s="79">
        <v>5.8140033840866898E-2</v>
      </c>
      <c r="F15" s="79">
        <v>5.8140033840866898E-2</v>
      </c>
    </row>
    <row r="16" spans="1:8" ht="15.75" customHeight="1" x14ac:dyDescent="0.25">
      <c r="B16" s="24" t="s">
        <v>17</v>
      </c>
      <c r="C16" s="79">
        <v>1.28425554362399E-2</v>
      </c>
      <c r="D16" s="79">
        <v>1.28425554362399E-2</v>
      </c>
      <c r="E16" s="79">
        <v>9.6869987772815296E-3</v>
      </c>
      <c r="F16" s="79">
        <v>9.6869987772815296E-3</v>
      </c>
    </row>
    <row r="17" spans="1:8" ht="15.75" customHeight="1" x14ac:dyDescent="0.25">
      <c r="B17" s="24" t="s">
        <v>18</v>
      </c>
      <c r="C17" s="79">
        <v>1.54857231839159E-2</v>
      </c>
      <c r="D17" s="79">
        <v>1.54857231839159E-2</v>
      </c>
      <c r="E17" s="79">
        <v>3.3184335290902103E-2</v>
      </c>
      <c r="F17" s="79">
        <v>3.3184335290902103E-2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2.0804998697946001E-2</v>
      </c>
      <c r="D19" s="79">
        <v>2.0804998697946001E-2</v>
      </c>
      <c r="E19" s="79">
        <v>1.9407523309579299E-2</v>
      </c>
      <c r="F19" s="79">
        <v>1.9407523309579299E-2</v>
      </c>
    </row>
    <row r="20" spans="1:8" ht="15.75" customHeight="1" x14ac:dyDescent="0.25">
      <c r="B20" s="24" t="s">
        <v>21</v>
      </c>
      <c r="C20" s="79">
        <v>7.7355152632200598E-4</v>
      </c>
      <c r="D20" s="79">
        <v>7.7355152632200598E-4</v>
      </c>
      <c r="E20" s="79">
        <v>3.0788433373426806E-3</v>
      </c>
      <c r="F20" s="79">
        <v>3.0788433373426806E-3</v>
      </c>
    </row>
    <row r="21" spans="1:8" ht="15.75" customHeight="1" x14ac:dyDescent="0.25">
      <c r="B21" s="24" t="s">
        <v>22</v>
      </c>
      <c r="C21" s="79">
        <v>9.6177594406101796E-2</v>
      </c>
      <c r="D21" s="79">
        <v>9.6177594406101796E-2</v>
      </c>
      <c r="E21" s="79">
        <v>0.25367395415079103</v>
      </c>
      <c r="F21" s="79">
        <v>0.25367395415079103</v>
      </c>
    </row>
    <row r="22" spans="1:8" ht="15.75" customHeight="1" x14ac:dyDescent="0.25">
      <c r="B22" s="24" t="s">
        <v>23</v>
      </c>
      <c r="C22" s="79">
        <v>0.73706457254051949</v>
      </c>
      <c r="D22" s="79">
        <v>0.73706457254051949</v>
      </c>
      <c r="E22" s="79">
        <v>0.60679408220586784</v>
      </c>
      <c r="F22" s="79">
        <v>0.60679408220586784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3.7100000000000001E-2</v>
      </c>
    </row>
    <row r="27" spans="1:8" ht="15.75" customHeight="1" x14ac:dyDescent="0.25">
      <c r="B27" s="24" t="s">
        <v>39</v>
      </c>
      <c r="C27" s="79">
        <v>3.2000000000000002E-3</v>
      </c>
    </row>
    <row r="28" spans="1:8" ht="15.75" customHeight="1" x14ac:dyDescent="0.25">
      <c r="B28" s="24" t="s">
        <v>40</v>
      </c>
      <c r="C28" s="79">
        <v>0.26539999999999997</v>
      </c>
    </row>
    <row r="29" spans="1:8" ht="15.75" customHeight="1" x14ac:dyDescent="0.25">
      <c r="B29" s="24" t="s">
        <v>41</v>
      </c>
      <c r="C29" s="79">
        <v>8.929999999999999E-2</v>
      </c>
    </row>
    <row r="30" spans="1:8" ht="15.75" customHeight="1" x14ac:dyDescent="0.25">
      <c r="B30" s="24" t="s">
        <v>42</v>
      </c>
      <c r="C30" s="79">
        <v>3.4799999999999998E-2</v>
      </c>
    </row>
    <row r="31" spans="1:8" ht="15.75" customHeight="1" x14ac:dyDescent="0.25">
      <c r="B31" s="24" t="s">
        <v>43</v>
      </c>
      <c r="C31" s="79">
        <v>5.2999999999999999E-2</v>
      </c>
    </row>
    <row r="32" spans="1:8" ht="15.75" customHeight="1" x14ac:dyDescent="0.25">
      <c r="B32" s="24" t="s">
        <v>44</v>
      </c>
      <c r="C32" s="79">
        <v>4.1799999999999997E-2</v>
      </c>
    </row>
    <row r="33" spans="2:3" ht="15.75" customHeight="1" x14ac:dyDescent="0.25">
      <c r="B33" s="24" t="s">
        <v>45</v>
      </c>
      <c r="C33" s="79">
        <v>5.6799999999999996E-2</v>
      </c>
    </row>
    <row r="34" spans="2:3" ht="15.75" customHeight="1" x14ac:dyDescent="0.25">
      <c r="B34" s="24" t="s">
        <v>46</v>
      </c>
      <c r="C34" s="79">
        <v>0.41860000000223513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0.49644373596966418</v>
      </c>
      <c r="D2" s="80">
        <v>0.49644373596966418</v>
      </c>
      <c r="E2" s="80">
        <v>0.49338128299440026</v>
      </c>
      <c r="F2" s="80">
        <v>0.44444968657230971</v>
      </c>
      <c r="G2" s="80">
        <v>0.47652827326272756</v>
      </c>
    </row>
    <row r="3" spans="1:15" ht="15.75" customHeight="1" x14ac:dyDescent="0.25">
      <c r="A3" s="5"/>
      <c r="B3" s="11" t="s">
        <v>118</v>
      </c>
      <c r="C3" s="80">
        <v>0.23660663326110509</v>
      </c>
      <c r="D3" s="80">
        <v>0.23660663326110509</v>
      </c>
      <c r="E3" s="80">
        <v>0.23966908623636901</v>
      </c>
      <c r="F3" s="80">
        <v>0.28085437640845956</v>
      </c>
      <c r="G3" s="80">
        <v>0.24877578971804157</v>
      </c>
    </row>
    <row r="4" spans="1:15" ht="15.75" customHeight="1" x14ac:dyDescent="0.25">
      <c r="A4" s="5"/>
      <c r="B4" s="11" t="s">
        <v>116</v>
      </c>
      <c r="C4" s="81">
        <v>0.16922699807692307</v>
      </c>
      <c r="D4" s="81">
        <v>0.16922699807692307</v>
      </c>
      <c r="E4" s="81">
        <v>0.16922699807692307</v>
      </c>
      <c r="F4" s="81">
        <v>0.1769733043269231</v>
      </c>
      <c r="G4" s="81">
        <v>0.1769733043269231</v>
      </c>
    </row>
    <row r="5" spans="1:15" ht="15.75" customHeight="1" x14ac:dyDescent="0.25">
      <c r="A5" s="5"/>
      <c r="B5" s="11" t="s">
        <v>119</v>
      </c>
      <c r="C5" s="81">
        <v>9.7722632692307687E-2</v>
      </c>
      <c r="D5" s="81">
        <v>9.7722632692307687E-2</v>
      </c>
      <c r="E5" s="81">
        <v>9.7722632692307687E-2</v>
      </c>
      <c r="F5" s="81">
        <v>9.7722632692307687E-2</v>
      </c>
      <c r="G5" s="81">
        <v>9.7722632692307687E-2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0.66329862594786726</v>
      </c>
      <c r="D8" s="80">
        <v>0.66329862594786726</v>
      </c>
      <c r="E8" s="80">
        <v>0.70560632186440675</v>
      </c>
      <c r="F8" s="80">
        <v>0.71903808467023556</v>
      </c>
      <c r="G8" s="80">
        <v>0.58614363877315334</v>
      </c>
    </row>
    <row r="9" spans="1:15" ht="15.75" customHeight="1" x14ac:dyDescent="0.25">
      <c r="B9" s="7" t="s">
        <v>121</v>
      </c>
      <c r="C9" s="80">
        <v>0.18235702405213267</v>
      </c>
      <c r="D9" s="80">
        <v>0.18235702405213267</v>
      </c>
      <c r="E9" s="80">
        <v>0.17268002813559322</v>
      </c>
      <c r="F9" s="80">
        <v>0.21113029632976446</v>
      </c>
      <c r="G9" s="80">
        <v>0.30307427056017999</v>
      </c>
    </row>
    <row r="10" spans="1:15" ht="15.75" customHeight="1" x14ac:dyDescent="0.25">
      <c r="B10" s="7" t="s">
        <v>122</v>
      </c>
      <c r="C10" s="81">
        <v>9.8141171000000013E-2</v>
      </c>
      <c r="D10" s="81">
        <v>9.8141171000000013E-2</v>
      </c>
      <c r="E10" s="81">
        <v>7.2623451000000006E-2</v>
      </c>
      <c r="F10" s="81">
        <v>5.2384455999999996E-2</v>
      </c>
      <c r="G10" s="81">
        <v>9.1081555333333328E-2</v>
      </c>
    </row>
    <row r="11" spans="1:15" ht="15.75" customHeight="1" x14ac:dyDescent="0.25">
      <c r="B11" s="7" t="s">
        <v>123</v>
      </c>
      <c r="C11" s="81">
        <v>5.6203178999999999E-2</v>
      </c>
      <c r="D11" s="81">
        <v>5.6203178999999999E-2</v>
      </c>
      <c r="E11" s="81">
        <v>4.9090198999999994E-2</v>
      </c>
      <c r="F11" s="81">
        <v>1.7447163000000002E-2</v>
      </c>
      <c r="G11" s="81">
        <v>1.9700535333333335E-2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0.54814867350000007</v>
      </c>
      <c r="D14" s="82">
        <v>0.52809382599400001</v>
      </c>
      <c r="E14" s="82">
        <v>0.52809382599400001</v>
      </c>
      <c r="F14" s="82">
        <v>0.246947057985</v>
      </c>
      <c r="G14" s="82">
        <v>0.246947057985</v>
      </c>
      <c r="H14" s="83">
        <v>0.71099999999999997</v>
      </c>
      <c r="I14" s="83">
        <v>0.59047619047619049</v>
      </c>
      <c r="J14" s="83">
        <v>0.60819047619047617</v>
      </c>
      <c r="K14" s="83">
        <v>0.62787301587301581</v>
      </c>
      <c r="L14" s="83">
        <v>0.31438062968800001</v>
      </c>
      <c r="M14" s="83">
        <v>0.29428698022499999</v>
      </c>
      <c r="N14" s="83">
        <v>0.236328775789</v>
      </c>
      <c r="O14" s="83">
        <v>0.25478697223300001</v>
      </c>
    </row>
    <row r="15" spans="1:15" ht="15.75" customHeight="1" x14ac:dyDescent="0.25">
      <c r="B15" s="16" t="s">
        <v>68</v>
      </c>
      <c r="C15" s="80">
        <f>iron_deficiency_anaemia*C14</f>
        <v>0.30606627698067007</v>
      </c>
      <c r="D15" s="80">
        <f t="shared" ref="D15:O15" si="0">iron_deficiency_anaemia*D14</f>
        <v>0.29486837975256247</v>
      </c>
      <c r="E15" s="80">
        <f t="shared" si="0"/>
        <v>0.29486837975256247</v>
      </c>
      <c r="F15" s="80">
        <f t="shared" si="0"/>
        <v>0.13788625295067616</v>
      </c>
      <c r="G15" s="80">
        <f t="shared" si="0"/>
        <v>0.13788625295067616</v>
      </c>
      <c r="H15" s="80">
        <f t="shared" si="0"/>
        <v>0.39699653297301357</v>
      </c>
      <c r="I15" s="80">
        <f t="shared" si="0"/>
        <v>0.32970042253468412</v>
      </c>
      <c r="J15" s="80">
        <f t="shared" si="0"/>
        <v>0.3395914352107246</v>
      </c>
      <c r="K15" s="80">
        <f t="shared" si="0"/>
        <v>0.35058144929521406</v>
      </c>
      <c r="L15" s="80">
        <f t="shared" si="0"/>
        <v>0.17553870607596184</v>
      </c>
      <c r="M15" s="80">
        <f t="shared" si="0"/>
        <v>0.16431914324672686</v>
      </c>
      <c r="N15" s="80">
        <f t="shared" si="0"/>
        <v>0.13195739047818519</v>
      </c>
      <c r="O15" s="80">
        <f t="shared" si="0"/>
        <v>0.14226377584133965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0.63500000000000001</v>
      </c>
      <c r="D2" s="81">
        <v>0.63500000000000001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6.3E-2</v>
      </c>
      <c r="D3" s="81">
        <v>0.13200000000000001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5.4000000000000006E-2</v>
      </c>
      <c r="D4" s="81">
        <v>5.4000000000000006E-2</v>
      </c>
      <c r="E4" s="81">
        <v>0.68900000000000006</v>
      </c>
      <c r="F4" s="81">
        <v>0.85650000000000004</v>
      </c>
      <c r="G4" s="81">
        <v>0</v>
      </c>
    </row>
    <row r="5" spans="1:7" x14ac:dyDescent="0.25">
      <c r="B5" s="43" t="s">
        <v>169</v>
      </c>
      <c r="C5" s="80">
        <f>1-SUM(C2:C4)</f>
        <v>0.248</v>
      </c>
      <c r="D5" s="80">
        <f>1-SUM(D2:D4)</f>
        <v>0.17899999999999994</v>
      </c>
      <c r="E5" s="80">
        <f>1-SUM(E2:E4)</f>
        <v>0.31099999999999994</v>
      </c>
      <c r="F5" s="80">
        <f>1-SUM(F2:F4)</f>
        <v>0.14349999999999996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0.18579000000000001</v>
      </c>
      <c r="D2" s="144">
        <v>0.17916000000000001</v>
      </c>
      <c r="E2" s="144">
        <v>0.17268999999999998</v>
      </c>
      <c r="F2" s="144">
        <v>0.16639999999999999</v>
      </c>
      <c r="G2" s="144">
        <v>0.16028999999999999</v>
      </c>
      <c r="H2" s="144">
        <v>0.15441000000000002</v>
      </c>
      <c r="I2" s="144">
        <v>0.14873</v>
      </c>
      <c r="J2" s="144">
        <v>0.14327000000000001</v>
      </c>
      <c r="K2" s="144">
        <v>0.13800999999999999</v>
      </c>
      <c r="L2" s="144">
        <v>0.13297</v>
      </c>
      <c r="M2" s="144">
        <v>0.12814</v>
      </c>
      <c r="N2" s="144">
        <v>0.12351000000000001</v>
      </c>
      <c r="O2" s="144">
        <v>0.11907</v>
      </c>
      <c r="P2" s="144">
        <v>0.11478999999999999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8.8749999999999996E-2</v>
      </c>
      <c r="D4" s="144">
        <v>8.5600000000000009E-2</v>
      </c>
      <c r="E4" s="144">
        <v>8.2540000000000002E-2</v>
      </c>
      <c r="F4" s="144">
        <v>7.9619999999999996E-2</v>
      </c>
      <c r="G4" s="144">
        <v>7.6769999999999991E-2</v>
      </c>
      <c r="H4" s="144">
        <v>7.424E-2</v>
      </c>
      <c r="I4" s="144">
        <v>7.1800000000000003E-2</v>
      </c>
      <c r="J4" s="144">
        <v>6.9489999999999996E-2</v>
      </c>
      <c r="K4" s="144">
        <v>6.726E-2</v>
      </c>
      <c r="L4" s="144">
        <v>6.5159999999999996E-2</v>
      </c>
      <c r="M4" s="144">
        <v>6.3149999999999998E-2</v>
      </c>
      <c r="N4" s="144">
        <v>6.123E-2</v>
      </c>
      <c r="O4" s="144">
        <v>5.9359999999999996E-2</v>
      </c>
      <c r="P4" s="144">
        <v>5.7539999999999994E-2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0.1694693099315219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0.34810616386489418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0.15037418931549504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0.6349999999999999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0.80066666666666675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7.6909999999999998</v>
      </c>
      <c r="D13" s="143">
        <v>7.3029999999999999</v>
      </c>
      <c r="E13" s="143">
        <v>6.9569999999999999</v>
      </c>
      <c r="F13" s="143">
        <v>6.6360000000000001</v>
      </c>
      <c r="G13" s="143">
        <v>6.3559999999999999</v>
      </c>
      <c r="H13" s="143">
        <v>6.093</v>
      </c>
      <c r="I13" s="143">
        <v>5.8479999999999999</v>
      </c>
      <c r="J13" s="143">
        <v>5.6230000000000002</v>
      </c>
      <c r="K13" s="143">
        <v>5.4240000000000004</v>
      </c>
      <c r="L13" s="143">
        <v>5.2290000000000001</v>
      </c>
      <c r="M13" s="143">
        <v>5.0579999999999998</v>
      </c>
      <c r="N13" s="143">
        <v>4.8319999999999999</v>
      </c>
      <c r="O13" s="143">
        <v>4.6920000000000002</v>
      </c>
      <c r="P13" s="143">
        <v>4.5549999999999997</v>
      </c>
    </row>
    <row r="14" spans="1:16" x14ac:dyDescent="0.25">
      <c r="B14" s="16" t="s">
        <v>170</v>
      </c>
      <c r="C14" s="143">
        <f>maternal_mortality</f>
        <v>0.68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8.199999999999999E-2</v>
      </c>
      <c r="E2" s="92">
        <f>food_insecure</f>
        <v>8.199999999999999E-2</v>
      </c>
      <c r="F2" s="92">
        <f>food_insecure</f>
        <v>8.199999999999999E-2</v>
      </c>
      <c r="G2" s="92">
        <f>food_insecure</f>
        <v>8.199999999999999E-2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8.199999999999999E-2</v>
      </c>
      <c r="F5" s="92">
        <f>food_insecure</f>
        <v>8.199999999999999E-2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4.3694411401442305E-2</v>
      </c>
      <c r="D7" s="92">
        <f>diarrhoea_1_5mo/26</f>
        <v>4.6372320198076536E-2</v>
      </c>
      <c r="E7" s="92">
        <f>diarrhoea_6_11mo/26</f>
        <v>4.6372320198076536E-2</v>
      </c>
      <c r="F7" s="92">
        <f>diarrhoea_12_23mo/26</f>
        <v>4.0519809626922691E-2</v>
      </c>
      <c r="G7" s="92">
        <f>diarrhoea_24_59mo/26</f>
        <v>4.0519809626922691E-2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8.199999999999999E-2</v>
      </c>
      <c r="F8" s="92">
        <f>food_insecure</f>
        <v>8.199999999999999E-2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0.74099999999999999</v>
      </c>
      <c r="E9" s="92">
        <f>IF(ISBLANK(comm_deliv), frac_children_health_facility,1)</f>
        <v>0.74099999999999999</v>
      </c>
      <c r="F9" s="92">
        <f>IF(ISBLANK(comm_deliv), frac_children_health_facility,1)</f>
        <v>0.74099999999999999</v>
      </c>
      <c r="G9" s="92">
        <f>IF(ISBLANK(comm_deliv), frac_children_health_facility,1)</f>
        <v>0.74099999999999999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4.3694411401442305E-2</v>
      </c>
      <c r="D11" s="92">
        <f>diarrhoea_1_5mo/26</f>
        <v>4.6372320198076536E-2</v>
      </c>
      <c r="E11" s="92">
        <f>diarrhoea_6_11mo/26</f>
        <v>4.6372320198076536E-2</v>
      </c>
      <c r="F11" s="92">
        <f>diarrhoea_12_23mo/26</f>
        <v>4.0519809626922691E-2</v>
      </c>
      <c r="G11" s="92">
        <f>diarrhoea_24_59mo/26</f>
        <v>4.0519809626922691E-2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8.199999999999999E-2</v>
      </c>
      <c r="I14" s="92">
        <f>food_insecure</f>
        <v>8.199999999999999E-2</v>
      </c>
      <c r="J14" s="92">
        <f>food_insecure</f>
        <v>8.199999999999999E-2</v>
      </c>
      <c r="K14" s="92">
        <f>food_insecure</f>
        <v>8.199999999999999E-2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0.85099999999999998</v>
      </c>
      <c r="I17" s="92">
        <f>frac_PW_health_facility</f>
        <v>0.85099999999999998</v>
      </c>
      <c r="J17" s="92">
        <f>frac_PW_health_facility</f>
        <v>0.85099999999999998</v>
      </c>
      <c r="K17" s="92">
        <f>frac_PW_health_facility</f>
        <v>0.85099999999999998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0.57299999999999995</v>
      </c>
      <c r="M23" s="92">
        <f>famplan_unmet_need</f>
        <v>0.57299999999999995</v>
      </c>
      <c r="N23" s="92">
        <f>famplan_unmet_need</f>
        <v>0.57299999999999995</v>
      </c>
      <c r="O23" s="92">
        <f>famplan_unmet_need</f>
        <v>0.57299999999999995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0.205360287311186</v>
      </c>
      <c r="M24" s="92">
        <f>(1-food_insecure)*(0.49)+food_insecure*(0.7)</f>
        <v>0.50722</v>
      </c>
      <c r="N24" s="92">
        <f>(1-food_insecure)*(0.49)+food_insecure*(0.7)</f>
        <v>0.50722</v>
      </c>
      <c r="O24" s="92">
        <f>(1-food_insecure)*(0.49)+food_insecure*(0.7)</f>
        <v>0.50722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8.8011551704793994E-2</v>
      </c>
      <c r="M25" s="92">
        <f>(1-food_insecure)*(0.21)+food_insecure*(0.3)</f>
        <v>0.21738000000000002</v>
      </c>
      <c r="N25" s="92">
        <f>(1-food_insecure)*(0.21)+food_insecure*(0.3)</f>
        <v>0.21738000000000002</v>
      </c>
      <c r="O25" s="92">
        <f>(1-food_insecure)*(0.21)+food_insecure*(0.3)</f>
        <v>0.21738000000000002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0.11150235228402</v>
      </c>
      <c r="M26" s="92">
        <f>(1-food_insecure)*(0.3)</f>
        <v>0.27539999999999998</v>
      </c>
      <c r="N26" s="92">
        <f>(1-food_insecure)*(0.3)</f>
        <v>0.27539999999999998</v>
      </c>
      <c r="O26" s="92">
        <f>(1-food_insecure)*(0.3)</f>
        <v>0.27539999999999998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0.59512580869999998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2020-03-24T06:49:50Z</dcterms:modified>
</cp:coreProperties>
</file>