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6FCF47BA-4767-4530-BFBA-97C8F46772C3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8" i="2"/>
  <c r="I22" i="2"/>
  <c r="I18" i="2"/>
  <c r="I27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I15" i="2"/>
  <c r="I12" i="2"/>
  <c r="I11" i="2"/>
  <c r="I10" i="2"/>
  <c r="I9" i="2"/>
  <c r="I8" i="2"/>
  <c r="I7" i="2"/>
  <c r="I6" i="2"/>
  <c r="I5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E5FCBDC-6622-4C6D-9EBB-45F878B300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B658E3F-DBD5-4937-BB4F-7309C2702CE0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AA8E721B-2C2B-434F-82B0-73D1FE787588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A9F9093F-AAAA-4506-9E8E-2CC4147760B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B00E74B4-B32B-44B4-A79C-9836C442E473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A540806A-A2C8-425A-ADE1-4DF539344F47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E6B7CCA5-C411-4D03-9F39-96098CF7ED3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B292F3CA-A0AD-4B2A-98C9-CAD312171B5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97146E8-2216-4D6F-885F-7193D9624DE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A36E35A-8A60-4372-AA7C-195849BB921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450817E-B53F-4E61-84A9-6B0581C58F7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AF99CD10-94BD-46BB-94CA-AC06DA456B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5EC30C7E-5494-4B06-B5D1-B1993C10D3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BCAD5142-5189-4C7D-B9E6-07EC927CDE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E5B6528-5F10-4121-88A2-28E067C6D6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93C7BBE-5EB9-4E46-8F8C-B35EB774A2E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7864EEF-FAB4-4EF7-AEE4-D20E859C77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3D0C66D-7BD9-4BD5-93E9-FBB431A0A7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C6EE03A-7EFC-41C9-ACAC-24D4483CC3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B8268238-F68B-4917-9954-C5A54D30557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F520A607-5EC2-4A43-9CAA-CD15E0E5626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D6CC38D-DE61-44E8-BCC8-8A7FB89B2CD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DE8DC7F8-9500-4E92-916A-A40B2C3A4AD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34C5716-6988-469C-9CF0-2667CA54D3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4B0A78AE-4A3B-4BFF-91F5-A07D941FF332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4F0328DC-17CE-4ED6-A8F8-6277E0DEDAB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1D06F69-13F3-4187-8C5C-71D8A0EC2A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68C49494-B669-4BA1-B5CC-854EF96F49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C2093FE-A1E4-4683-8B14-235B1E164C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DFFBCBC-C529-49A0-8520-67DCABF519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0C7A7FFC-963A-4B25-BB35-B31977D3FC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BAB83237-A113-41BE-8B62-8388297A2E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C97943F-6909-40B9-B396-BEFB28AC54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1C3491E5-EA7C-49EC-8634-01C706B1935A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BC399B47-1AED-4B4F-9652-736BA5B329A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A1FC5E2-A6A3-4D27-9F05-C17C3ABBEF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3B7BE0B-F39B-4172-B542-DD9D046FFF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EF23A332-22B3-49C6-9CE6-75E0C71539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0AACD55A-AF39-4605-B5CB-C9FE92E0D7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191A552A-1AD2-4B68-8E70-C7A8C2276D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9FBB895-124B-452C-9469-1168BD13FD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BF1795E5-41D5-4955-A474-EAE9397919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119A424-CDF8-48DD-A9C7-7858D98641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008F64FB-1B1C-4BE0-8B81-B00172ECD9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EA09863D-4FDD-44FE-95CA-0175A7A7A1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97CA7A4-29C4-4DD3-9040-895F32F9FC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BC631867-FBFB-4ADB-B026-ABAB50A5FA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F8D2653-A09F-455E-82AE-0E2DA2A27F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B6493D5-D384-4E92-BA6B-C2FC82C3E6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DFE9AE9F-6597-48E8-97E4-C2CBA5CCD0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CA7A6061-7911-445C-AF34-8F56F00F04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CD4689D-39FE-4C44-BD87-00C873B46D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DA5CFE9C-F235-426A-9C33-D8E2C57B74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63DF4418-ED89-4B04-BE62-6DFFA67C4C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AC39E44-CAE1-438E-9B0D-2E2C0CB23D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C0FCBC1F-BA7D-4630-9FDF-5E5FF3AE95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8016A41C-9C4A-49ED-AB55-D87EBBD688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66AEA6CC-2CB9-4EEC-99C0-56A4A48F9B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7E1B4C4-E846-420F-9D86-50C6D281BC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527DF808-5270-4624-A063-FD6C274E02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5D1E6913-4C21-4BCB-80BC-1A737AFDD4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A080A2B5-6B50-432A-9A7E-14ACBABB0D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00D373B-FA81-4DA9-9605-ACB408D68F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8C5AC713-17B2-4D4A-A656-E56EA609B1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6A537B7-3C28-4DF7-96CA-9A33137D8E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E9A6F97B-DEEA-4197-9809-AB97077550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627F491-8B9B-4CFF-A03A-66F301033D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2E1DA74E-CC66-4F1E-98DA-D4568D76A5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D96D963D-9DD6-42B6-A32C-C1843CCCB5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E533AAAC-7A92-4F17-B35C-0B5C8CCD8A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D6DB325-64D5-410A-85E8-EBCA67BDE2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E9CF3DEA-BD4E-4CED-87D9-BE0B99B017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6B356584-0094-4290-8B6C-C53DBDE0F8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E8EC6B7A-E0BD-470E-8406-2F54D91270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6A7702B-B324-4ABC-A769-19FD13CC59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E7C6AE4C-F632-4BA2-84E0-441C7B76D3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1A7723F7-E7B4-4A17-A369-BD38272C87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5CC97A1-B1FF-4962-B72C-11A08B5F0F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FF3B09A8-1214-4B65-A081-360C631CE9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97DF74D9-43FE-4531-BF03-5F295B18FF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3A2871A4-E2B1-41D0-8C0C-2DE4765365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19E3EF61-AC64-45A5-A97B-B3D6E3D91D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553908F-1BCD-407B-BA7E-3BFF27AC0F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77A62DE-8FEE-4EAD-AA86-B08F69A029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3E98248A-EBD6-459A-AB9F-AA9C741F92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5216C99-887C-48FE-94CB-0CF1B6C74E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B72F2C8D-DCEC-4F68-9FC5-28C6C73891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408D8746-05DC-4E88-830D-5FB5570CCA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4B01FBA-1840-445E-8BED-00DD7E9840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76243C57-441A-4600-9C51-9290A77836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69AC2D3B-1632-49E7-A2F4-C521F9FF22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85798C39-E4A4-42A4-9A41-92F33147E4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30E2730-3E2A-4E92-A621-84351C5188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7240E6B0-83A2-49DA-8284-E9B555C4B6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C494302-C996-4E94-8188-4CF3C3B501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3974A5A-3C00-4ADF-B844-262D8B4C00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429B849B-8572-44EF-B9FD-E9CFE10279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2930F84B-C35C-4E09-9406-712C970BDD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423C347C-04C2-40ED-A17D-396099C3C3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45E9DBEE-CE9B-4CDD-B3DF-EB2F152FD9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75B16559-74A1-4044-8D0B-C70635DB92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CC6209DF-5899-493C-BE6C-B9A15B9E25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8951CABB-9258-47CC-BDC3-5E327E35D1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E7C7047E-1F7F-4EC2-88B6-3D7FDBBB48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F2364777-8FC1-41E4-ACC1-B088E8CA64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7BF7AFB8-F342-41E6-960F-82967A2DE0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9F5515F-B88F-4F92-B09F-26D74F6129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D3FBB5F3-24F0-4CAB-92D4-56F5520523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50A9DCBB-0E63-400B-910E-AF49DAB35F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93A5A38-BA89-4739-8419-93A7890101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A0CC625-87E2-4309-8E4B-CBA511FACB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A5F18B2-3382-482E-8D23-6B4997E5FD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4E6AF81A-3101-4AC9-80FC-37139B0801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91184674-BE48-4DC6-975B-2276101FB0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13C56644-9EA8-4E09-8865-76EFC95C397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D4F1990-CA7A-478F-874C-2CAE0CA3622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C3D36B8-14E4-46DA-8EEF-EDFDF608CC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D082D276-796C-44F9-B7A5-4C18128FEA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5EEFC59-F169-404B-B6F6-40404D8EE1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47F5A74-19F9-48CE-8D8D-91453CC6FE3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F3E84EE-A496-44C7-BA79-52037D2B0E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1C55880-034C-44B8-9273-7CC65EDC5F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15606543-A006-4639-AB88-58FA1DF763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16877F0-8554-4DA4-B75F-8FAEEF1097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8DFE83E-EC7D-406B-8632-D926897C89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50874968-5F5D-4BA0-9281-259EA9F802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945CC53A-E246-484F-8263-D03733CF60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CA04AB18-60C5-4668-911B-5375C72B9CE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1C451FA0-41F2-455C-B022-8E9F1EBC36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081697E0-86C5-454D-8D43-047A34C715F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013B32AF-CC60-4861-BB2A-B3BEB03B94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F9C359BE-B3E1-463E-ABAE-E901CA8491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23225A27-22BF-4FB1-8A1C-997B432F1AF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4BD9F43C-32A2-4B3B-871D-D461B86797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03A84D8-7563-4810-B7AE-9DD8FEFE60B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0979D93D-888D-4561-AE20-E4B9E65884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0D123B92-0DD0-44C2-A82D-B5794EA11F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AA3B02DC-A085-4255-AC08-E8D770C368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28FFEE1-2375-4005-9B24-9202B99BC0B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3E5E9DD-0D0C-47AE-BE66-1786A1B1557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E0DECAC8-C630-41D7-B49F-756F889898A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36F8C62-046F-418A-9B6A-54F0EBFCBE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6850CBBC-D8C5-48B8-8045-88870AFD83B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35AC637-F223-4483-A587-45A79B4496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E76FAF77-BCB2-46D9-82C1-8968D86267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7829352-9EF2-4F58-8658-B2DF8C3710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25E8EBDC-69CA-4C92-9911-26F4BA301C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3034C43-C783-458F-B45E-EA0FADEAAB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5814137A-814D-4282-ADD4-B92A113494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C98058BC-BBB7-4BCC-90EF-FE389484D00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5F8FD046-F168-4CCE-BD63-165F45A2F3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72DEA36-BD0B-47F8-B85F-E5DC1E039D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4EA4F71-9F23-493D-84C5-ECEB962440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2F0219B-F4D4-4B13-9BA2-DBE1CF08C3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D9F3905-5217-4634-8402-15FFC9EE5E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68F3279-6906-44DC-B25A-DD50ADDE03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04B7A1DB-6C87-42F9-BAEB-362805F301F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550C0863-91F3-47EF-8868-6C3F7EE255B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0916AB3-1C0E-461B-A484-EA676F0106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DCFD7735-1FE7-4113-BB2B-482BFF2379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0D63E637-D8AA-4886-87E3-D162075BD5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0F365A6-284B-44E0-B988-277F4A68A6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3BA7DDEF-7F20-438C-A216-388E51F1CB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317C18F-B442-4F3F-B554-3F73E6CF5D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C40A374-E588-43D7-9DD9-32939E341D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8474D886-F99F-405C-9B2F-AA95A57818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E5892E0D-B0FA-4D02-9E3C-D07FB3E422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6071E04A-FFA9-41DF-A096-CEC8B17E7B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EDB44EE-20A4-43E2-806E-7B1719AA6F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6A26CB40-8549-45DB-9B98-7A19DD9233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0DE5017-D3AF-4384-962E-BB87CE0864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F7C5E0B-B34E-4773-93E9-255A7028CA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94250181-5208-472F-B47E-D353A843FF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50AE95F5-3A93-41A2-86F0-EF2DA9AEAA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14B71BE-E8E6-4CA5-B9BE-27A51C8459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A1D9831-4984-46DA-ADA7-8FE45998A9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2393B45-3873-4B92-A6EE-24385D48D6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103EFA9-DCE6-4327-9221-7578A4B506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9B7E49D-4667-42AA-B232-788D6ECE6C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2D4AE341-2255-4621-BDE6-ED7A0648FE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FB818383-4489-422D-A8CD-73E4AAD4C1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E8BA03D8-9E02-4BF8-BAD2-2CABF1CC86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9FF8BD5D-5511-4BD4-8433-B4CADADF92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D0E5CA3-B59D-421C-B0A1-A25A1FB862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E3EC4DF2-A591-4B08-8595-DC8F31276D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D33B5BBE-8A22-47BF-B523-2174B49F23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7A09A5E1-6311-4B5E-8FCF-5757E06C42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E4DCA154-80EF-4279-A173-672558E281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9E2B863-172B-4EEE-AAB4-A251B7230E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7D38E236-5E9C-4A63-8BD3-18F77D45CF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22364CBB-6A97-495E-A6A9-E4787750CF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F5EB3D4A-E57F-461E-ACE2-1AB1A5A2AB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8B58F8E0-F587-42C6-BF5E-AF538E8D27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96A9508D-B65A-406B-BCB2-A0C07A1AA2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9A6D533C-894D-4BD5-8CFD-56A031EFDF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D822D89-182B-4601-8D58-96B846FED0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D3E9AA6D-71DD-4BC5-AFDF-6D7A6FEED1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0D4AC03E-FEA3-40E3-9353-9CA1CC2AD6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D699A0AC-F5E3-4753-AF11-D5297D1CEB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BD77D4F-AE3F-45D2-B79D-3C32FF610A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59C17B0-F3B2-421D-8E5E-A31D0E4AFB5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1431A34-9722-4692-81FA-B452228862E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9590500-93CF-4CFA-BA78-314B5FBA75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F6760343-8436-4184-84BA-A5DDC2C8B72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48A82D78-7301-41B8-9677-D97EF180041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5CFE7A65-2A15-40C2-974C-4DCC82D7454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3DB50AF-4B4A-4026-AAC4-E613CCC9FD7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FD0F4CED-FF8E-4430-9E4B-208C1DAB0E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900FEBE-7998-4E92-A986-8156FEF53D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B522438-8759-410D-8D53-70E8160FE9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CC37593A-A4FF-426C-B83E-88077E8F40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E4A2D2E-7BDE-4E77-B4AC-F57C49C9558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D993FB54-A7EE-49CD-BFA7-03DBED09F9E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5F3ECAD2-6F6D-4EAA-83B6-82BC8EF61F8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70BE4EC-EDD1-43AD-BE82-51BEC5DDFFD1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48D9F1A4-E171-4FAF-9B33-F3839CF0EE9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9D545DA7-BF1A-40BC-A755-9BF99E0F507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3DDE7790-DFD8-46CC-9EC5-B39DB205943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D0BFF374-D20E-412A-A8BF-5CEF77087A8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208042F-937F-4A31-919B-452BA19824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F28D2D7-0A65-43E7-AA8E-83D8B04D97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C187F3E7-B36D-42DF-84DC-378E3CECC5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3C561D5-A5F0-46FF-ABD3-FFCB912DCD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D1D62D0-5D2C-4C51-BB9A-66C91289C8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FF6A07DE-A823-4CF0-844F-74CCC759BF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03E6AF3-B004-4FAD-A32C-93178F0F8E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717B02BA-028E-4DC9-BF23-B6AD35A02D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A8ACBF31-FDAA-4C5E-9F14-FAE998EF8A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38E3520-55A6-4FF4-A304-19508F09B8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688F46C-3991-4EBC-9C85-0CEF02C151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4493F11-6BF4-4A4F-8532-D7978C1ED4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151246A9-4FB2-4C07-9038-B91E06E1EC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4C3E2048-7BA5-4DB4-9D48-4FA4EA822F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19F4124-6CD3-4F41-82E4-BD25440381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BB45479E-864D-49B3-AC60-A1F708D2C9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1104CF2-5E4E-448B-B660-B36EA980D0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85FDA9E5-507E-4A84-9A9F-77793665B9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527C4D77-D7C2-4B61-BB08-352FBB5483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C8268F7-6F36-49B5-A824-84997DAC97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26BC5ED0-DA57-4709-90BD-2BB06C98D8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7DE254AD-EA29-4F4D-9849-9040966A63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31F7798D-B0C1-4CB2-8DF4-9702FA5CF5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A0861E4E-1BED-42F0-897B-538B2B8B43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1E44CAC9-A71C-41B6-B4A0-E1D7F67FA2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FAF6D4D-69EA-4796-B941-A2C504FB4B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DD36906-9C9C-4F9D-AEDF-4C25E0625F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939F0CA-9660-446D-9B94-813E882E1A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C79351F3-C1B4-4E06-B435-42F34AC1A5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93E7105F-9B4C-41DA-897F-4A4BD6E7F0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1553441-18A3-4FA2-AAAF-A49DF91985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9C5EB331-976E-483F-AE38-8DEB4277BF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46BFF32-8A8F-44E9-A107-EEE13546B1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6937750C-768E-417D-A4F3-E4224DB245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929557E0-D92E-4201-8CEE-3C21CA138F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8EE2844-6E87-4C47-AA06-FF5BA126E2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F8CDDC5-83F2-4179-B260-0A22C64E5E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D9410E4-C7E7-460C-A153-A3DD1D8F3E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6104ABAC-F426-4303-A2A6-98445303F1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483B8A48-04FF-482F-A4B2-569EBDB386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61085586-B405-4288-A254-3B756939D5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F5B6219-65F5-4758-834F-89A82D4ED1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33371D7-99D1-4D40-A06C-8461644AEC1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0D23262-DF16-4CFA-BCAA-7316D60C6F0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4E18CE6C-FEAB-4FA3-B9D4-BD444B0D6DF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F74D22D-3F99-4AD6-B995-B68E57E026C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FEADA5A-B105-4F99-98CD-65C0833302E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988EDBF8-6486-435B-9CB1-BA73A11E074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86587D0-AED1-4AF1-9417-86988823CC7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178DF357-3004-4837-BDA6-B4028C0B5E9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08A1C6E-E60C-447B-9D78-C77CF2175C5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80BEAC9F-AF15-42F2-BD4E-5EEA298C1FE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6C40879C-9821-49FC-85AF-160E93E21DA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C6634277-9499-46EB-AF2A-C3211F49977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00C549A-B4B4-4430-9213-9416563D88A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D90AC32-0CA4-4009-970D-AC37AA9CAA2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B4DE69E-24CD-4125-BF08-E010F903EBF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A9163FEE-DCB3-4B0C-B6BE-6AF046B0AAA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0206F28-91E1-41CA-9A26-30882BD90DB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6965BD7-D247-42D9-8A24-DB9C9B272C1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5910F41-F64E-48A7-B414-E89590CB189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772D64CC-FBE7-4B1C-AD88-3863BE60EA6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75D4C05-BC41-4336-8870-4FAE48922E3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D9FCC073-FE6B-454C-A76E-EB689700DE0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47F801E2-C7D9-4BAF-9CD8-37128DDC10D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77375AED-83E9-4AE6-B1E7-4523C2BCBB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D59A6330-5561-4AB1-8CEF-8188663B29C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FE283294-D402-4446-9D50-7B360355544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D6CDD0F8-EA15-4A11-BDB5-39E056D0CCB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08EF33B9-3FB5-4A84-BC96-9C755E064B63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5ECB1AE9-55CB-4E95-9F80-21E2D76C262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F70A353D-CAE1-4D4A-A22D-ED30464681F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D5CBA14-97DA-4DF2-AA55-BBC1A690DF0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AB01C682-0FA6-44E7-8145-DC7F015111B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1F2D667-5713-4546-B65C-A282100A2A2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825B8882-5A1C-434C-AF78-AB9C2B19A16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CBAB90F-FCFA-4D02-8F9C-00F6742CA60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37EC512-CBA2-4C87-859B-15C6B1AE45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2302CFC-4801-468D-BD7C-2D973710E8D1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08EAA281-927A-4D8A-BFAA-64EFF745B91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8FD43E1-E0F6-4AAD-B5EE-75B8D2167FC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B86BA25-60BA-4A64-9915-53129401F17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E64249AC-C589-4149-A9F2-8D3CED81471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6F43479-974A-42AA-AAB4-EF8282BEC27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12F1E6DF-76FC-45D9-B666-917D9EDAA450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4BBD8A98-1547-48E9-B9BF-981CE49AECB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F9642A14-8D77-4935-87D7-5FB4B5F54C8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0EF74456-A92C-4C82-BC0D-E3AAE2A6120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BFEF7299-B676-4FAE-A8A7-6B7DEDC4655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9F522A6-D80E-4C67-838C-A3F986A8CA8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47511C5-6CA7-4FC3-BA1C-C5DAC445826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6E14DD9-FF0C-4CF4-BD0D-352CD750C2A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59A12134-B67A-47F4-A154-A3476B7E8E7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C3FEC8A9-756A-4E28-9444-406AFD89AD9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1EB26C28-3A0F-447F-9330-66A577ACC27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5F3EEE8A-F8C4-4C78-B399-4EE256F1471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1A2184E-0804-4E6B-AE9C-738876D8C4B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B39F2649-0DC1-4627-8200-0C1EA449443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A70252C-E80D-4FFD-9527-1A77972B52F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7D4D034B-B681-48D8-B62E-B4DEA413A11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46006FB8-B52D-4358-B4FD-6DF13AF6EE3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21BBF22-DD82-459B-A4C6-B8BDB9F45BA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61AEA5A-915F-44C9-8690-64159F348B70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A6424CDC-A9CB-4166-BDDE-954DBCC7FFA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<sst xmlns="http://schemas.openxmlformats.org/spreadsheetml/2006/main" count="1102" uniqueCount="271">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</sst>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3395595</v>
      </c>
    </row>
    <row r="8" spans="1:3" ht="15" customHeight="1" x14ac:dyDescent="0.25">
      <c r="B8" s="7" t="s">
        <v>106</v>
      </c>
      <c r="C8" s="70">
        <v>0.17699999999999999</v>
      </c>
    </row>
    <row r="9" spans="1:3" ht="15" customHeight="1" x14ac:dyDescent="0.25">
      <c r="B9" s="9" t="s">
        <v>107</v>
      </c>
      <c r="C9" s="71">
        <v>0.9</v>
      </c>
    </row>
    <row r="10" spans="1:3" ht="15" customHeight="1" x14ac:dyDescent="0.25">
      <c r="B10" s="9" t="s">
        <v>105</v>
      </c>
      <c r="C10" s="71">
        <v>0.26102539062500002</v>
      </c>
    </row>
    <row r="11" spans="1:3" ht="15" customHeight="1" x14ac:dyDescent="0.25">
      <c r="B11" s="7" t="s">
        <v>108</v>
      </c>
      <c r="C11" s="70">
        <v>0.38</v>
      </c>
    </row>
    <row r="12" spans="1:3" ht="15" customHeight="1" x14ac:dyDescent="0.25">
      <c r="B12" s="7" t="s">
        <v>109</v>
      </c>
      <c r="C12" s="70">
        <v>0.23</v>
      </c>
    </row>
    <row r="13" spans="1:3" ht="15" customHeight="1" x14ac:dyDescent="0.25">
      <c r="B13" s="7" t="s">
        <v>110</v>
      </c>
      <c r="C13" s="70">
        <v>0.54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0.14249999999999999</v>
      </c>
    </row>
    <row r="24" spans="1:3" ht="15" customHeight="1" x14ac:dyDescent="0.25">
      <c r="B24" s="20" t="s">
        <v>102</v>
      </c>
      <c r="C24" s="71">
        <v>0.43409999999999999</v>
      </c>
    </row>
    <row r="25" spans="1:3" ht="15" customHeight="1" x14ac:dyDescent="0.25">
      <c r="B25" s="20" t="s">
        <v>103</v>
      </c>
      <c r="C25" s="71">
        <v>0.32079999999999997</v>
      </c>
    </row>
    <row r="26" spans="1:3" ht="15" customHeight="1" x14ac:dyDescent="0.25">
      <c r="B26" s="20" t="s">
        <v>104</v>
      </c>
      <c r="C26" s="71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0.17699999999999999</v>
      </c>
    </row>
    <row r="30" spans="1:3" ht="14.25" customHeight="1" x14ac:dyDescent="0.25">
      <c r="B30" s="30" t="s">
        <v>76</v>
      </c>
      <c r="C30" s="73">
        <v>5.5E-2</v>
      </c>
    </row>
    <row r="31" spans="1:3" ht="14.25" customHeight="1" x14ac:dyDescent="0.25">
      <c r="B31" s="30" t="s">
        <v>77</v>
      </c>
      <c r="C31" s="73">
        <v>0.14800000000000002</v>
      </c>
    </row>
    <row r="32" spans="1:3" ht="14.25" customHeight="1" x14ac:dyDescent="0.25">
      <c r="B32" s="30" t="s">
        <v>78</v>
      </c>
      <c r="C32" s="73">
        <v>0.62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35.4</v>
      </c>
    </row>
    <row r="38" spans="1:5" ht="15" customHeight="1" x14ac:dyDescent="0.25">
      <c r="B38" s="16" t="s">
        <v>91</v>
      </c>
      <c r="C38" s="75">
        <v>65.8</v>
      </c>
      <c r="D38" s="17"/>
      <c r="E38" s="18"/>
    </row>
    <row r="39" spans="1:5" ht="15" customHeight="1" x14ac:dyDescent="0.25">
      <c r="B39" s="16" t="s">
        <v>90</v>
      </c>
      <c r="C39" s="75">
        <v>106</v>
      </c>
      <c r="D39" s="17"/>
      <c r="E39" s="17"/>
    </row>
    <row r="40" spans="1:5" ht="15" customHeight="1" x14ac:dyDescent="0.25">
      <c r="B40" s="16" t="s">
        <v>171</v>
      </c>
      <c r="C40" s="75">
        <v>5.87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1.8600000000000002E-2</v>
      </c>
      <c r="D45" s="17"/>
    </row>
    <row r="46" spans="1:5" ht="15.75" customHeight="1" x14ac:dyDescent="0.25">
      <c r="B46" s="16" t="s">
        <v>11</v>
      </c>
      <c r="C46" s="71">
        <v>9.7200000000000009E-2</v>
      </c>
      <c r="D46" s="17"/>
    </row>
    <row r="47" spans="1:5" ht="15.75" customHeight="1" x14ac:dyDescent="0.25">
      <c r="B47" s="16" t="s">
        <v>12</v>
      </c>
      <c r="C47" s="71">
        <v>0.33340000000000003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3.1463909445825005</v>
      </c>
      <c r="D51" s="17"/>
    </row>
    <row r="52" spans="1:4" ht="15" customHeight="1" x14ac:dyDescent="0.25">
      <c r="B52" s="16" t="s">
        <v>125</v>
      </c>
      <c r="C52" s="76">
        <v>2.7256955770399998</v>
      </c>
    </row>
    <row r="53" spans="1:4" ht="15.75" customHeight="1" x14ac:dyDescent="0.25">
      <c r="B53" s="16" t="s">
        <v>126</v>
      </c>
      <c r="C53" s="76">
        <v>2.7256955770399998</v>
      </c>
    </row>
    <row r="54" spans="1:4" ht="15.75" customHeight="1" x14ac:dyDescent="0.25">
      <c r="B54" s="16" t="s">
        <v>127</v>
      </c>
      <c r="C54" s="76">
        <v>1.8098397289899999</v>
      </c>
    </row>
    <row r="55" spans="1:4" ht="15.75" customHeight="1" x14ac:dyDescent="0.25">
      <c r="B55" s="16" t="s">
        <v>128</v>
      </c>
      <c r="C55" s="76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0.39852057180784439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36.571690758964145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44.673915322947977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77.994484382723172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0.1930432460298625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1.1177537490964207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1.1177537490964207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1.1177537490964207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1.1177537490964207</v>
      </c>
      <c r="E13" s="86" t="s">
        <v>202</v>
      </c>
    </row>
    <row r="14" spans="1:5" ht="15.75" customHeight="1" x14ac:dyDescent="0.25">
      <c r="A14" s="11" t="s">
        <v>187</v>
      </c>
      <c r="B14" s="85">
        <v>0.183</v>
      </c>
      <c r="C14" s="85">
        <v>0.95</v>
      </c>
      <c r="D14" s="86">
        <v>14.198977192068337</v>
      </c>
      <c r="E14" s="86" t="s">
        <v>202</v>
      </c>
    </row>
    <row r="15" spans="1:5" ht="15.75" customHeight="1" x14ac:dyDescent="0.25">
      <c r="A15" s="11" t="s">
        <v>209</v>
      </c>
      <c r="B15" s="85">
        <v>0.183</v>
      </c>
      <c r="C15" s="85">
        <v>0.95</v>
      </c>
      <c r="D15" s="86">
        <v>14.198977192068337</v>
      </c>
      <c r="E15" s="86" t="s">
        <v>202</v>
      </c>
    </row>
    <row r="16" spans="1:5" ht="15.75" customHeight="1" x14ac:dyDescent="0.25">
      <c r="A16" s="52" t="s">
        <v>57</v>
      </c>
      <c r="B16" s="85">
        <v>0.311</v>
      </c>
      <c r="C16" s="85">
        <v>0.95</v>
      </c>
      <c r="D16" s="86">
        <v>0.25525323351447138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0.13500000000000001</v>
      </c>
      <c r="C18" s="85">
        <v>0.95</v>
      </c>
      <c r="D18" s="87">
        <v>1.899304380682495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1.899304380682495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1.899304380682495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1.9015104176891655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24.209172725963413</v>
      </c>
      <c r="E22" s="86" t="s">
        <v>202</v>
      </c>
    </row>
    <row r="23" spans="1:5" ht="15.75" customHeight="1" x14ac:dyDescent="0.25">
      <c r="A23" s="52" t="s">
        <v>34</v>
      </c>
      <c r="B23" s="85">
        <v>0.89599999999999991</v>
      </c>
      <c r="C23" s="85">
        <v>0.95</v>
      </c>
      <c r="D23" s="86">
        <v>4.6647271427629606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20.510589714869287</v>
      </c>
      <c r="E24" s="86" t="s">
        <v>202</v>
      </c>
    </row>
    <row r="25" spans="1:5" ht="15.75" customHeight="1" x14ac:dyDescent="0.25">
      <c r="A25" s="52" t="s">
        <v>87</v>
      </c>
      <c r="B25" s="85">
        <v>0.127</v>
      </c>
      <c r="C25" s="85">
        <v>0.95</v>
      </c>
      <c r="D25" s="86">
        <v>20.506274910167495</v>
      </c>
      <c r="E25" s="86" t="s">
        <v>202</v>
      </c>
    </row>
    <row r="26" spans="1:5" ht="15.75" customHeight="1" x14ac:dyDescent="0.25">
      <c r="A26" s="52" t="s">
        <v>137</v>
      </c>
      <c r="B26" s="85">
        <v>0.183</v>
      </c>
      <c r="C26" s="85">
        <v>0.95</v>
      </c>
      <c r="D26" s="86">
        <v>4.6592124155878016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4.0469183404271005</v>
      </c>
      <c r="E27" s="86" t="s">
        <v>202</v>
      </c>
    </row>
    <row r="28" spans="1:5" ht="15.75" customHeight="1" x14ac:dyDescent="0.25">
      <c r="A28" s="52" t="s">
        <v>84</v>
      </c>
      <c r="B28" s="85">
        <v>0.20899999999999999</v>
      </c>
      <c r="C28" s="85">
        <v>0.95</v>
      </c>
      <c r="D28" s="86">
        <v>1.2893944030728488</v>
      </c>
      <c r="E28" s="86" t="s">
        <v>202</v>
      </c>
    </row>
    <row r="29" spans="1:5" ht="15.75" customHeight="1" x14ac:dyDescent="0.25">
      <c r="A29" s="52" t="s">
        <v>58</v>
      </c>
      <c r="B29" s="85">
        <v>0.13500000000000001</v>
      </c>
      <c r="C29" s="85">
        <v>0.95</v>
      </c>
      <c r="D29" s="86">
        <v>64.674005141426761</v>
      </c>
      <c r="E29" s="86" t="s">
        <v>202</v>
      </c>
    </row>
    <row r="30" spans="1:5" ht="15.75" customHeight="1" x14ac:dyDescent="0.25">
      <c r="A30" s="52" t="s">
        <v>67</v>
      </c>
      <c r="B30" s="85">
        <v>0.41799999999999998</v>
      </c>
      <c r="C30" s="85">
        <v>0.95</v>
      </c>
      <c r="D30" s="86">
        <v>2.2139746515338325</v>
      </c>
      <c r="E30" s="86" t="s">
        <v>202</v>
      </c>
    </row>
    <row r="31" spans="1:5" ht="15.75" customHeight="1" x14ac:dyDescent="0.25">
      <c r="A31" s="52" t="s">
        <v>28</v>
      </c>
      <c r="B31" s="85">
        <v>0.99</v>
      </c>
      <c r="C31" s="85">
        <v>0.95</v>
      </c>
      <c r="D31" s="86">
        <v>0.49047047831897034</v>
      </c>
      <c r="E31" s="86" t="s">
        <v>202</v>
      </c>
    </row>
    <row r="32" spans="1:5" ht="15.75" customHeight="1" x14ac:dyDescent="0.25">
      <c r="A32" s="52" t="s">
        <v>83</v>
      </c>
      <c r="B32" s="85">
        <v>0.38500000000000001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0.60799999999999998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0.247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0.159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0.09</v>
      </c>
      <c r="C37" s="85">
        <v>0.95</v>
      </c>
      <c r="D37" s="86">
        <v>3.8385823182066949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0.51442916351061829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0.20398989520000002</v>
      </c>
      <c r="C3" s="26">
        <f>frac_mam_1_5months * 2.6</f>
        <v>0.20398989520000002</v>
      </c>
      <c r="D3" s="26">
        <f>frac_mam_6_11months * 2.6</f>
        <v>0.39909876759999996</v>
      </c>
      <c r="E3" s="26">
        <f>frac_mam_12_23months * 2.6</f>
        <v>0.38742688920000007</v>
      </c>
      <c r="F3" s="26">
        <f>frac_mam_24_59months * 2.6</f>
        <v>0.21463425966666669</v>
      </c>
    </row>
    <row r="4" spans="1:6" ht="15.75" customHeight="1" x14ac:dyDescent="0.25">
      <c r="A4" s="3" t="s">
        <v>66</v>
      </c>
      <c r="B4" s="26">
        <f>frac_sam_1month * 2.6</f>
        <v>0.12935139880000002</v>
      </c>
      <c r="C4" s="26">
        <f>frac_sam_1_5months * 2.6</f>
        <v>0.12935139880000002</v>
      </c>
      <c r="D4" s="26">
        <f>frac_sam_6_11months * 2.6</f>
        <v>0.1286319944</v>
      </c>
      <c r="E4" s="26">
        <f>frac_sam_12_23months * 2.6</f>
        <v>0.13669442280000002</v>
      </c>
      <c r="F4" s="26">
        <f>frac_sam_24_59months * 2.6</f>
        <v>5.7244741666666668E-2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780172.35048000002</v>
      </c>
      <c r="C2" s="78">
        <v>980922</v>
      </c>
      <c r="D2" s="78">
        <v>1440570</v>
      </c>
      <c r="E2" s="78">
        <v>1007129</v>
      </c>
      <c r="F2" s="78">
        <v>675133</v>
      </c>
      <c r="G2" s="22">
        <f t="shared" ref="G2:G40" si="0">C2+D2+E2+F2</f>
        <v>4103754</v>
      </c>
      <c r="H2" s="22">
        <f t="shared" ref="H2:H40" si="1">(B2 + stillbirth*B2/(1000-stillbirth))/(1-abortion)</f>
        <v>926873.20737770654</v>
      </c>
      <c r="I2" s="22">
        <f>G2-H2</f>
        <v>3176880.7926222933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794300.45200000005</v>
      </c>
      <c r="C3" s="78">
        <v>1022000</v>
      </c>
      <c r="D3" s="78">
        <v>1488000</v>
      </c>
      <c r="E3" s="78">
        <v>1032000</v>
      </c>
      <c r="F3" s="78">
        <v>703000</v>
      </c>
      <c r="G3" s="22">
        <f t="shared" si="0"/>
        <v>4245000</v>
      </c>
      <c r="H3" s="22">
        <f t="shared" si="1"/>
        <v>943657.90727375343</v>
      </c>
      <c r="I3" s="22">
        <f t="shared" ref="I3:I15" si="3">G3-H3</f>
        <v>3301342.0927262465</v>
      </c>
    </row>
    <row r="4" spans="1:9" ht="15.75" customHeight="1" x14ac:dyDescent="0.25">
      <c r="A4" s="7">
        <f t="shared" si="2"/>
        <v>2019</v>
      </c>
      <c r="B4" s="77">
        <v>808469.71800000011</v>
      </c>
      <c r="C4" s="78">
        <v>1065000</v>
      </c>
      <c r="D4" s="78">
        <v>1539000</v>
      </c>
      <c r="E4" s="78">
        <v>1058000</v>
      </c>
      <c r="F4" s="78">
        <v>730000</v>
      </c>
      <c r="G4" s="22">
        <f t="shared" si="0"/>
        <v>4392000</v>
      </c>
      <c r="H4" s="22">
        <f t="shared" si="1"/>
        <v>960491.5120734208</v>
      </c>
      <c r="I4" s="22">
        <f t="shared" si="3"/>
        <v>3431508.4879265791</v>
      </c>
    </row>
    <row r="5" spans="1:9" ht="15.75" customHeight="1" x14ac:dyDescent="0.25">
      <c r="A5" s="7">
        <f t="shared" si="2"/>
        <v>2020</v>
      </c>
      <c r="B5" s="77">
        <v>822617.62</v>
      </c>
      <c r="C5" s="78">
        <v>1111000</v>
      </c>
      <c r="D5" s="78">
        <v>1595000</v>
      </c>
      <c r="E5" s="78">
        <v>1085000</v>
      </c>
      <c r="F5" s="78">
        <v>757000</v>
      </c>
      <c r="G5" s="22">
        <f t="shared" si="0"/>
        <v>4548000</v>
      </c>
      <c r="H5" s="22">
        <f t="shared" si="1"/>
        <v>977299.73566188489</v>
      </c>
      <c r="I5" s="22">
        <f t="shared" si="3"/>
        <v>3570700.2643381152</v>
      </c>
    </row>
    <row r="6" spans="1:9" ht="15.75" customHeight="1" x14ac:dyDescent="0.25">
      <c r="A6" s="7">
        <f t="shared" si="2"/>
        <v>2021</v>
      </c>
      <c r="B6" s="77">
        <v>838369.2324000001</v>
      </c>
      <c r="C6" s="78">
        <v>1155000</v>
      </c>
      <c r="D6" s="78">
        <v>1654000</v>
      </c>
      <c r="E6" s="78">
        <v>1113000</v>
      </c>
      <c r="F6" s="78">
        <v>782000</v>
      </c>
      <c r="G6" s="22">
        <f t="shared" si="0"/>
        <v>4704000</v>
      </c>
      <c r="H6" s="22">
        <f t="shared" si="1"/>
        <v>996013.22569722903</v>
      </c>
      <c r="I6" s="22">
        <f t="shared" si="3"/>
        <v>3707986.7743027708</v>
      </c>
    </row>
    <row r="7" spans="1:9" ht="15.75" customHeight="1" x14ac:dyDescent="0.25">
      <c r="A7" s="7">
        <f t="shared" si="2"/>
        <v>2022</v>
      </c>
      <c r="B7" s="77">
        <v>854115.37900000007</v>
      </c>
      <c r="C7" s="78">
        <v>1201000</v>
      </c>
      <c r="D7" s="78">
        <v>1717000</v>
      </c>
      <c r="E7" s="78">
        <v>1144000</v>
      </c>
      <c r="F7" s="78">
        <v>808000</v>
      </c>
      <c r="G7" s="22">
        <f t="shared" si="0"/>
        <v>4870000</v>
      </c>
      <c r="H7" s="22">
        <f t="shared" si="1"/>
        <v>1014720.2221628205</v>
      </c>
      <c r="I7" s="22">
        <f t="shared" si="3"/>
        <v>3855279.7778371796</v>
      </c>
    </row>
    <row r="8" spans="1:9" ht="15.75" customHeight="1" x14ac:dyDescent="0.25">
      <c r="A8" s="7">
        <f t="shared" si="2"/>
        <v>2023</v>
      </c>
      <c r="B8" s="77">
        <v>869957.17120000022</v>
      </c>
      <c r="C8" s="78">
        <v>1249000</v>
      </c>
      <c r="D8" s="78">
        <v>1783000</v>
      </c>
      <c r="E8" s="78">
        <v>1177000</v>
      </c>
      <c r="F8" s="78">
        <v>834000</v>
      </c>
      <c r="G8" s="22">
        <f t="shared" si="0"/>
        <v>5043000</v>
      </c>
      <c r="H8" s="22">
        <f t="shared" si="1"/>
        <v>1033540.8490896673</v>
      </c>
      <c r="I8" s="22">
        <f t="shared" si="3"/>
        <v>4009459.1509103328</v>
      </c>
    </row>
    <row r="9" spans="1:9" ht="15.75" customHeight="1" x14ac:dyDescent="0.25">
      <c r="A9" s="7">
        <f t="shared" si="2"/>
        <v>2024</v>
      </c>
      <c r="B9" s="77">
        <v>885835.21320000023</v>
      </c>
      <c r="C9" s="78">
        <v>1295000</v>
      </c>
      <c r="D9" s="78">
        <v>1855000</v>
      </c>
      <c r="E9" s="78">
        <v>1213000</v>
      </c>
      <c r="F9" s="78">
        <v>859000</v>
      </c>
      <c r="G9" s="22">
        <f t="shared" si="0"/>
        <v>5222000</v>
      </c>
      <c r="H9" s="22">
        <f t="shared" si="1"/>
        <v>1052404.5421010428</v>
      </c>
      <c r="I9" s="22">
        <f t="shared" si="3"/>
        <v>4169595.4578989572</v>
      </c>
    </row>
    <row r="10" spans="1:9" ht="15.75" customHeight="1" x14ac:dyDescent="0.25">
      <c r="A10" s="7">
        <f t="shared" si="2"/>
        <v>2025</v>
      </c>
      <c r="B10" s="77">
        <v>901807.06400000001</v>
      </c>
      <c r="C10" s="78">
        <v>1339000</v>
      </c>
      <c r="D10" s="78">
        <v>1932000</v>
      </c>
      <c r="E10" s="78">
        <v>1250000</v>
      </c>
      <c r="F10" s="78">
        <v>885000</v>
      </c>
      <c r="G10" s="22">
        <f t="shared" si="0"/>
        <v>5406000</v>
      </c>
      <c r="H10" s="22">
        <f t="shared" si="1"/>
        <v>1071379.68338828</v>
      </c>
      <c r="I10" s="22">
        <f t="shared" si="3"/>
        <v>4334620.3166117202</v>
      </c>
    </row>
    <row r="11" spans="1:9" ht="15.75" customHeight="1" x14ac:dyDescent="0.25">
      <c r="A11" s="7">
        <f t="shared" si="2"/>
        <v>2026</v>
      </c>
      <c r="B11" s="77">
        <v>917799.07480000006</v>
      </c>
      <c r="C11" s="78">
        <v>1377000</v>
      </c>
      <c r="D11" s="78">
        <v>2012000</v>
      </c>
      <c r="E11" s="78">
        <v>1292000</v>
      </c>
      <c r="F11" s="78">
        <v>909000</v>
      </c>
      <c r="G11" s="22">
        <f t="shared" si="0"/>
        <v>5590000</v>
      </c>
      <c r="H11" s="22">
        <f t="shared" si="1"/>
        <v>1090378.7754908076</v>
      </c>
      <c r="I11" s="22">
        <f t="shared" si="3"/>
        <v>4499621.2245091926</v>
      </c>
    </row>
    <row r="12" spans="1:9" ht="15.75" customHeight="1" x14ac:dyDescent="0.25">
      <c r="A12" s="7">
        <f t="shared" si="2"/>
        <v>2027</v>
      </c>
      <c r="B12" s="77">
        <v>933844.33480000007</v>
      </c>
      <c r="C12" s="78">
        <v>1412000</v>
      </c>
      <c r="D12" s="78">
        <v>2097000</v>
      </c>
      <c r="E12" s="78">
        <v>1336000</v>
      </c>
      <c r="F12" s="78">
        <v>933000</v>
      </c>
      <c r="G12" s="22">
        <f t="shared" si="0"/>
        <v>5778000</v>
      </c>
      <c r="H12" s="22">
        <f t="shared" si="1"/>
        <v>1109441.1295850785</v>
      </c>
      <c r="I12" s="22">
        <f t="shared" si="3"/>
        <v>4668558.870414922</v>
      </c>
    </row>
    <row r="13" spans="1:9" ht="15.75" customHeight="1" x14ac:dyDescent="0.25">
      <c r="A13" s="7">
        <f t="shared" si="2"/>
        <v>2028</v>
      </c>
      <c r="B13" s="77">
        <v>949846.79200000013</v>
      </c>
      <c r="C13" s="78">
        <v>1446000</v>
      </c>
      <c r="D13" s="78">
        <v>2185000</v>
      </c>
      <c r="E13" s="78">
        <v>1383000</v>
      </c>
      <c r="F13" s="78">
        <v>958000</v>
      </c>
      <c r="G13" s="22">
        <f t="shared" si="0"/>
        <v>5972000</v>
      </c>
      <c r="H13" s="22">
        <f t="shared" si="1"/>
        <v>1128452.6323918146</v>
      </c>
      <c r="I13" s="22">
        <f t="shared" si="3"/>
        <v>4843547.3676081859</v>
      </c>
    </row>
    <row r="14" spans="1:9" ht="15.75" customHeight="1" x14ac:dyDescent="0.25">
      <c r="A14" s="7">
        <f t="shared" si="2"/>
        <v>2029</v>
      </c>
      <c r="B14" s="77">
        <v>965750.51720000012</v>
      </c>
      <c r="C14" s="78">
        <v>1480000</v>
      </c>
      <c r="D14" s="78">
        <v>2273000</v>
      </c>
      <c r="E14" s="78">
        <v>1434000</v>
      </c>
      <c r="F14" s="78">
        <v>983000</v>
      </c>
      <c r="G14" s="22">
        <f t="shared" si="0"/>
        <v>6170000</v>
      </c>
      <c r="H14" s="22">
        <f t="shared" si="1"/>
        <v>1147346.8379815263</v>
      </c>
      <c r="I14" s="22">
        <f t="shared" si="3"/>
        <v>5022653.1620184742</v>
      </c>
    </row>
    <row r="15" spans="1:9" ht="15.75" customHeight="1" x14ac:dyDescent="0.25">
      <c r="A15" s="7">
        <f t="shared" si="2"/>
        <v>2030</v>
      </c>
      <c r="B15" s="77">
        <v>981573.84600000002</v>
      </c>
      <c r="C15" s="78">
        <v>1515000</v>
      </c>
      <c r="D15" s="78">
        <v>2360000</v>
      </c>
      <c r="E15" s="78">
        <v>1488000</v>
      </c>
      <c r="F15" s="78">
        <v>1011000</v>
      </c>
      <c r="G15" s="22">
        <f t="shared" si="0"/>
        <v>6374000</v>
      </c>
      <c r="H15" s="22">
        <f t="shared" si="1"/>
        <v>1166145.5297157622</v>
      </c>
      <c r="I15" s="22">
        <f t="shared" si="3"/>
        <v>5207854.4702842375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130.68401199916838</v>
      </c>
      <c r="I17" s="22">
        <f t="shared" si="4"/>
        <v>-130.68401199916838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6.9303377499999999E-2</v>
      </c>
    </row>
    <row r="4" spans="1:8" ht="15.75" customHeight="1" x14ac:dyDescent="0.25">
      <c r="B4" s="24" t="s">
        <v>7</v>
      </c>
      <c r="C4" s="79">
        <v>0.19151493736576825</v>
      </c>
    </row>
    <row r="5" spans="1:8" ht="15.75" customHeight="1" x14ac:dyDescent="0.25">
      <c r="B5" s="24" t="s">
        <v>8</v>
      </c>
      <c r="C5" s="79">
        <v>8.1804104511722417E-2</v>
      </c>
    </row>
    <row r="6" spans="1:8" ht="15.75" customHeight="1" x14ac:dyDescent="0.25">
      <c r="B6" s="24" t="s">
        <v>10</v>
      </c>
      <c r="C6" s="79">
        <v>0.1433036406761608</v>
      </c>
    </row>
    <row r="7" spans="1:8" ht="15.75" customHeight="1" x14ac:dyDescent="0.25">
      <c r="B7" s="24" t="s">
        <v>13</v>
      </c>
      <c r="C7" s="79">
        <v>0.16615424043733301</v>
      </c>
    </row>
    <row r="8" spans="1:8" ht="15.75" customHeight="1" x14ac:dyDescent="0.25">
      <c r="B8" s="24" t="s">
        <v>14</v>
      </c>
      <c r="C8" s="79">
        <v>1.9243213667901346E-3</v>
      </c>
    </row>
    <row r="9" spans="1:8" ht="15.75" customHeight="1" x14ac:dyDescent="0.25">
      <c r="B9" s="24" t="s">
        <v>27</v>
      </c>
      <c r="C9" s="79">
        <v>6.5243155229651725E-2</v>
      </c>
    </row>
    <row r="10" spans="1:8" ht="15.75" customHeight="1" x14ac:dyDescent="0.25">
      <c r="B10" s="24" t="s">
        <v>15</v>
      </c>
      <c r="C10" s="79">
        <v>0.28075222291257362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0.136781047975292</v>
      </c>
      <c r="D14" s="79">
        <v>0.136781047975292</v>
      </c>
      <c r="E14" s="79">
        <v>9.5204264856213083E-2</v>
      </c>
      <c r="F14" s="79">
        <v>9.5204264856213083E-2</v>
      </c>
    </row>
    <row r="15" spans="1:8" ht="15.75" customHeight="1" x14ac:dyDescent="0.25">
      <c r="B15" s="24" t="s">
        <v>16</v>
      </c>
      <c r="C15" s="79">
        <v>0.126523238590599</v>
      </c>
      <c r="D15" s="79">
        <v>0.126523238590599</v>
      </c>
      <c r="E15" s="79">
        <v>8.3777582097221096E-2</v>
      </c>
      <c r="F15" s="79">
        <v>8.3777582097221096E-2</v>
      </c>
    </row>
    <row r="16" spans="1:8" ht="15.75" customHeight="1" x14ac:dyDescent="0.25">
      <c r="B16" s="24" t="s">
        <v>17</v>
      </c>
      <c r="C16" s="79">
        <v>6.9034068895298895E-2</v>
      </c>
      <c r="D16" s="79">
        <v>6.9034068895298895E-2</v>
      </c>
      <c r="E16" s="79">
        <v>3.87514337401813E-2</v>
      </c>
      <c r="F16" s="79">
        <v>3.87514337401813E-2</v>
      </c>
    </row>
    <row r="17" spans="1:8" ht="15.75" customHeight="1" x14ac:dyDescent="0.25">
      <c r="B17" s="24" t="s">
        <v>18</v>
      </c>
      <c r="C17" s="79">
        <v>1.35793801161164E-2</v>
      </c>
      <c r="D17" s="79">
        <v>1.35793801161164E-2</v>
      </c>
      <c r="E17" s="79">
        <v>2.5951278042871201E-2</v>
      </c>
      <c r="F17" s="79">
        <v>2.5951278042871201E-2</v>
      </c>
    </row>
    <row r="18" spans="1:8" ht="15.75" customHeight="1" x14ac:dyDescent="0.25">
      <c r="B18" s="24" t="s">
        <v>19</v>
      </c>
      <c r="C18" s="79">
        <v>0.23371269227204197</v>
      </c>
      <c r="D18" s="79">
        <v>0.23371269227204197</v>
      </c>
      <c r="E18" s="79">
        <v>0.29460173896881098</v>
      </c>
      <c r="F18" s="79">
        <v>0.29460173896881098</v>
      </c>
    </row>
    <row r="19" spans="1:8" ht="15.75" customHeight="1" x14ac:dyDescent="0.25">
      <c r="B19" s="24" t="s">
        <v>20</v>
      </c>
      <c r="C19" s="79">
        <v>3.66583442241021E-2</v>
      </c>
      <c r="D19" s="79">
        <v>3.66583442241021E-2</v>
      </c>
      <c r="E19" s="79">
        <v>3.0200860240995796E-2</v>
      </c>
      <c r="F19" s="79">
        <v>3.0200860240995796E-2</v>
      </c>
    </row>
    <row r="20" spans="1:8" ht="15.75" customHeight="1" x14ac:dyDescent="0.25">
      <c r="B20" s="24" t="s">
        <v>21</v>
      </c>
      <c r="C20" s="79">
        <v>2.0970424773831396E-2</v>
      </c>
      <c r="D20" s="79">
        <v>2.0970424773831396E-2</v>
      </c>
      <c r="E20" s="79">
        <v>1.0022894887038301E-2</v>
      </c>
      <c r="F20" s="79">
        <v>1.0022894887038301E-2</v>
      </c>
    </row>
    <row r="21" spans="1:8" ht="15.75" customHeight="1" x14ac:dyDescent="0.25">
      <c r="B21" s="24" t="s">
        <v>22</v>
      </c>
      <c r="C21" s="79">
        <v>3.7746349332778102E-2</v>
      </c>
      <c r="D21" s="79">
        <v>3.7746349332778102E-2</v>
      </c>
      <c r="E21" s="79">
        <v>9.5184576133676105E-2</v>
      </c>
      <c r="F21" s="79">
        <v>9.5184576133676105E-2</v>
      </c>
    </row>
    <row r="22" spans="1:8" ht="15.75" customHeight="1" x14ac:dyDescent="0.25">
      <c r="B22" s="24" t="s">
        <v>23</v>
      </c>
      <c r="C22" s="79">
        <v>0.32499445381994019</v>
      </c>
      <c r="D22" s="79">
        <v>0.32499445381994019</v>
      </c>
      <c r="E22" s="79">
        <v>0.32630537103299206</v>
      </c>
      <c r="F22" s="79">
        <v>0.32630537103299206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8.8800000000000004E-2</v>
      </c>
    </row>
    <row r="27" spans="1:8" ht="15.75" customHeight="1" x14ac:dyDescent="0.25">
      <c r="B27" s="24" t="s">
        <v>39</v>
      </c>
      <c r="C27" s="79">
        <v>8.8999999999999999E-3</v>
      </c>
    </row>
    <row r="28" spans="1:8" ht="15.75" customHeight="1" x14ac:dyDescent="0.25">
      <c r="B28" s="24" t="s">
        <v>40</v>
      </c>
      <c r="C28" s="79">
        <v>0.15590000000000001</v>
      </c>
    </row>
    <row r="29" spans="1:8" ht="15.75" customHeight="1" x14ac:dyDescent="0.25">
      <c r="B29" s="24" t="s">
        <v>41</v>
      </c>
      <c r="C29" s="79">
        <v>0.17019999999999999</v>
      </c>
    </row>
    <row r="30" spans="1:8" ht="15.75" customHeight="1" x14ac:dyDescent="0.25">
      <c r="B30" s="24" t="s">
        <v>42</v>
      </c>
      <c r="C30" s="79">
        <v>0.10630000000000001</v>
      </c>
    </row>
    <row r="31" spans="1:8" ht="15.75" customHeight="1" x14ac:dyDescent="0.25">
      <c r="B31" s="24" t="s">
        <v>43</v>
      </c>
      <c r="C31" s="79">
        <v>0.109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0.2577000000022352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0.66803453895701237</v>
      </c>
      <c r="D2" s="80">
        <v>0.66803453895701237</v>
      </c>
      <c r="E2" s="80">
        <v>0.58525195868485191</v>
      </c>
      <c r="F2" s="80">
        <v>0.36639429748740648</v>
      </c>
      <c r="G2" s="80">
        <v>0.36904807976513709</v>
      </c>
    </row>
    <row r="3" spans="1:15" ht="15.75" customHeight="1" x14ac:dyDescent="0.25">
      <c r="A3" s="5"/>
      <c r="B3" s="11" t="s">
        <v>118</v>
      </c>
      <c r="C3" s="80">
        <v>0.17527143076083532</v>
      </c>
      <c r="D3" s="80">
        <v>0.17527143076083532</v>
      </c>
      <c r="E3" s="80">
        <v>0.23410078347394078</v>
      </c>
      <c r="F3" s="80">
        <v>0.27829949371994267</v>
      </c>
      <c r="G3" s="80">
        <v>0.2686593534041542</v>
      </c>
    </row>
    <row r="4" spans="1:15" ht="15.75" customHeight="1" x14ac:dyDescent="0.25">
      <c r="A4" s="5"/>
      <c r="B4" s="11" t="s">
        <v>116</v>
      </c>
      <c r="C4" s="81">
        <v>8.8826552198162725E-2</v>
      </c>
      <c r="D4" s="81">
        <v>8.8826552198162725E-2</v>
      </c>
      <c r="E4" s="81">
        <v>0.10579342171916009</v>
      </c>
      <c r="F4" s="81">
        <v>0.2135829457349081</v>
      </c>
      <c r="G4" s="81">
        <v>0.2135829457349081</v>
      </c>
    </row>
    <row r="5" spans="1:15" ht="15.75" customHeight="1" x14ac:dyDescent="0.25">
      <c r="A5" s="5"/>
      <c r="B5" s="11" t="s">
        <v>119</v>
      </c>
      <c r="C5" s="81">
        <v>6.7867478083989505E-2</v>
      </c>
      <c r="D5" s="81">
        <v>6.7867478083989505E-2</v>
      </c>
      <c r="E5" s="81">
        <v>7.485383612204724E-2</v>
      </c>
      <c r="F5" s="81">
        <v>0.14172326305774274</v>
      </c>
      <c r="G5" s="81">
        <v>0.14870962109580049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0.68904507319587627</v>
      </c>
      <c r="D8" s="80">
        <v>0.68904507319587627</v>
      </c>
      <c r="E8" s="80">
        <v>0.52079007127950316</v>
      </c>
      <c r="F8" s="80">
        <v>0.47804463255345919</v>
      </c>
      <c r="G8" s="80">
        <v>0.64814058982925027</v>
      </c>
    </row>
    <row r="9" spans="1:15" ht="15.75" customHeight="1" x14ac:dyDescent="0.25">
      <c r="B9" s="7" t="s">
        <v>121</v>
      </c>
      <c r="C9" s="80">
        <v>0.18274673680412371</v>
      </c>
      <c r="D9" s="80">
        <v>0.18274673680412371</v>
      </c>
      <c r="E9" s="80">
        <v>0.27623655872049691</v>
      </c>
      <c r="F9" s="80">
        <v>0.32037024744654091</v>
      </c>
      <c r="G9" s="80">
        <v>0.24729056350408316</v>
      </c>
    </row>
    <row r="10" spans="1:15" ht="15.75" customHeight="1" x14ac:dyDescent="0.25">
      <c r="B10" s="7" t="s">
        <v>122</v>
      </c>
      <c r="C10" s="81">
        <v>7.8457652000000003E-2</v>
      </c>
      <c r="D10" s="81">
        <v>7.8457652000000003E-2</v>
      </c>
      <c r="E10" s="81">
        <v>0.15349952599999997</v>
      </c>
      <c r="F10" s="81">
        <v>0.14901034200000002</v>
      </c>
      <c r="G10" s="81">
        <v>8.2551638333333344E-2</v>
      </c>
    </row>
    <row r="11" spans="1:15" ht="15.75" customHeight="1" x14ac:dyDescent="0.25">
      <c r="B11" s="7" t="s">
        <v>123</v>
      </c>
      <c r="C11" s="81">
        <v>4.9750538000000004E-2</v>
      </c>
      <c r="D11" s="81">
        <v>4.9750538000000004E-2</v>
      </c>
      <c r="E11" s="81">
        <v>4.9473843999999996E-2</v>
      </c>
      <c r="F11" s="81">
        <v>5.2574778000000003E-2</v>
      </c>
      <c r="G11" s="81">
        <v>2.2017208333333333E-2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0.88340230725000013</v>
      </c>
      <c r="D14" s="82">
        <v>0.86865575759299996</v>
      </c>
      <c r="E14" s="82">
        <v>0.86865575759299996</v>
      </c>
      <c r="F14" s="82">
        <v>0.85659057522600013</v>
      </c>
      <c r="G14" s="82">
        <v>0.85659057522600013</v>
      </c>
      <c r="H14" s="83">
        <v>0.58399999999999996</v>
      </c>
      <c r="I14" s="83">
        <v>0.58399999999999996</v>
      </c>
      <c r="J14" s="83">
        <v>0.58399999999999996</v>
      </c>
      <c r="K14" s="83">
        <v>0.58399999999999996</v>
      </c>
      <c r="L14" s="83">
        <v>0.58618916097999996</v>
      </c>
      <c r="M14" s="83">
        <v>0.50406150920850001</v>
      </c>
      <c r="N14" s="83">
        <v>0.51146558517700003</v>
      </c>
      <c r="O14" s="83">
        <v>0.59848572692999991</v>
      </c>
    </row>
    <row r="15" spans="1:15" ht="15.75" customHeight="1" x14ac:dyDescent="0.25">
      <c r="B15" s="16" t="s">
        <v>68</v>
      </c>
      <c r="C15" s="80">
        <f>iron_deficiency_anaemia*C14</f>
        <v>0.35205399262163911</v>
      </c>
      <c r="D15" s="80">
        <f t="shared" ref="D15:O15" si="0">iron_deficiency_anaemia*D14</f>
        <v>0.34617718922013863</v>
      </c>
      <c r="E15" s="80">
        <f t="shared" si="0"/>
        <v>0.34617718922013863</v>
      </c>
      <c r="F15" s="80">
        <f t="shared" si="0"/>
        <v>0.3413689658442759</v>
      </c>
      <c r="G15" s="80">
        <f t="shared" si="0"/>
        <v>0.3413689658442759</v>
      </c>
      <c r="H15" s="80">
        <f t="shared" si="0"/>
        <v>0.23273601393578111</v>
      </c>
      <c r="I15" s="80">
        <f t="shared" si="0"/>
        <v>0.23273601393578111</v>
      </c>
      <c r="J15" s="80">
        <f t="shared" si="0"/>
        <v>0.23273601393578111</v>
      </c>
      <c r="K15" s="80">
        <f t="shared" si="0"/>
        <v>0.23273601393578111</v>
      </c>
      <c r="L15" s="80">
        <f t="shared" si="0"/>
        <v>0.23360843962131012</v>
      </c>
      <c r="M15" s="80">
        <f t="shared" si="0"/>
        <v>0.20087888087609646</v>
      </c>
      <c r="N15" s="80">
        <f t="shared" si="0"/>
        <v>0.2038295574647718</v>
      </c>
      <c r="O15" s="80">
        <f t="shared" si="0"/>
        <v>0.23850887411497698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0.53500000000000003</v>
      </c>
      <c r="D2" s="81">
        <v>0.308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0.35200000000000004</v>
      </c>
      <c r="D3" s="81">
        <v>0.52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9.4E-2</v>
      </c>
      <c r="D4" s="81">
        <v>0.154</v>
      </c>
      <c r="E4" s="81">
        <v>0.97400000000000009</v>
      </c>
      <c r="F4" s="81">
        <v>0.80400000000000005</v>
      </c>
      <c r="G4" s="81">
        <v>0</v>
      </c>
    </row>
    <row r="5" spans="1:7" x14ac:dyDescent="0.25">
      <c r="B5" s="43" t="s">
        <v>169</v>
      </c>
      <c r="C5" s="80">
        <f>1-SUM(C2:C4)</f>
        <v>1.9000000000000017E-2</v>
      </c>
      <c r="D5" s="80">
        <f>1-SUM(D2:D4)</f>
        <v>1.7999999999999905E-2</v>
      </c>
      <c r="E5" s="80">
        <f>1-SUM(E2:E4)</f>
        <v>2.5999999999999912E-2</v>
      </c>
      <c r="F5" s="80">
        <f>1-SUM(F2:F4)</f>
        <v>0.19599999999999995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0.31685999999999998</v>
      </c>
      <c r="D2" s="144">
        <v>0.31447999999999998</v>
      </c>
      <c r="E2" s="144">
        <v>0.31206</v>
      </c>
      <c r="F2" s="144">
        <v>0.30945</v>
      </c>
      <c r="G2" s="144">
        <v>0.30626999999999999</v>
      </c>
      <c r="H2" s="144">
        <v>0.30275999999999997</v>
      </c>
      <c r="I2" s="144">
        <v>0.29925000000000002</v>
      </c>
      <c r="J2" s="144">
        <v>0.29580000000000001</v>
      </c>
      <c r="K2" s="144">
        <v>0.29244999999999999</v>
      </c>
      <c r="L2" s="144">
        <v>0.28920999999999997</v>
      </c>
      <c r="M2" s="144">
        <v>0.28606999999999999</v>
      </c>
      <c r="N2" s="144">
        <v>0.28298000000000001</v>
      </c>
      <c r="O2" s="144">
        <v>0.27992</v>
      </c>
      <c r="P2" s="144">
        <v>0.27689000000000002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0.12438</v>
      </c>
      <c r="D4" s="144">
        <v>0.12423000000000001</v>
      </c>
      <c r="E4" s="144">
        <v>0.1241</v>
      </c>
      <c r="F4" s="144">
        <v>0.12397</v>
      </c>
      <c r="G4" s="144">
        <v>0.12381</v>
      </c>
      <c r="H4" s="144">
        <v>0.12362000000000001</v>
      </c>
      <c r="I4" s="144">
        <v>0.12343</v>
      </c>
      <c r="J4" s="144">
        <v>0.12325</v>
      </c>
      <c r="K4" s="144">
        <v>0.12307</v>
      </c>
      <c r="L4" s="144">
        <v>0.12292</v>
      </c>
      <c r="M4" s="144">
        <v>0.12278</v>
      </c>
      <c r="N4" s="144">
        <v>0.12265000000000001</v>
      </c>
      <c r="O4" s="144">
        <v>0.12252</v>
      </c>
      <c r="P4" s="144">
        <v>0.12240999999999999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0.34242855724280674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0.23273601393578111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0.2171490092190001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0.34583333333333338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0.8606666666666668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119.018</v>
      </c>
      <c r="D13" s="143">
        <v>114.65600000000001</v>
      </c>
      <c r="E13" s="143">
        <v>110.41</v>
      </c>
      <c r="F13" s="143">
        <v>106.343</v>
      </c>
      <c r="G13" s="143">
        <v>102.476</v>
      </c>
      <c r="H13" s="143">
        <v>98.772000000000006</v>
      </c>
      <c r="I13" s="143">
        <v>95.227000000000004</v>
      </c>
      <c r="J13" s="143">
        <v>91.813999999999993</v>
      </c>
      <c r="K13" s="143">
        <v>88.501999999999995</v>
      </c>
      <c r="L13" s="143">
        <v>85.320999999999998</v>
      </c>
      <c r="M13" s="143">
        <v>82.361000000000004</v>
      </c>
      <c r="N13" s="143">
        <v>79.337000000000003</v>
      </c>
      <c r="O13" s="143">
        <v>76.525000000000006</v>
      </c>
      <c r="P13" s="143">
        <v>73.83</v>
      </c>
    </row>
    <row r="14" spans="1:16" x14ac:dyDescent="0.25">
      <c r="B14" s="16" t="s">
        <v>170</v>
      </c>
      <c r="C14" s="143">
        <f>maternal_mortality</f>
        <v>5.87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0.17699999999999999</v>
      </c>
      <c r="E2" s="92">
        <f>food_insecure</f>
        <v>0.17699999999999999</v>
      </c>
      <c r="F2" s="92">
        <f>food_insecure</f>
        <v>0.17699999999999999</v>
      </c>
      <c r="G2" s="92">
        <f>food_insecure</f>
        <v>0.17699999999999999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0.17699999999999999</v>
      </c>
      <c r="F5" s="92">
        <f>food_insecure</f>
        <v>0.17699999999999999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0.12101503633009617</v>
      </c>
      <c r="D7" s="92">
        <f>diarrhoea_1_5mo/26</f>
        <v>0.10483444527076922</v>
      </c>
      <c r="E7" s="92">
        <f>diarrhoea_6_11mo/26</f>
        <v>0.10483444527076922</v>
      </c>
      <c r="F7" s="92">
        <f>diarrhoea_12_23mo/26</f>
        <v>6.9609220345769232E-2</v>
      </c>
      <c r="G7" s="92">
        <f>diarrhoea_24_59mo/26</f>
        <v>6.9609220345769232E-2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0.17699999999999999</v>
      </c>
      <c r="F8" s="92">
        <f>food_insecure</f>
        <v>0.17699999999999999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0.23</v>
      </c>
      <c r="E9" s="92">
        <f>IF(ISBLANK(comm_deliv), frac_children_health_facility,1)</f>
        <v>0.23</v>
      </c>
      <c r="F9" s="92">
        <f>IF(ISBLANK(comm_deliv), frac_children_health_facility,1)</f>
        <v>0.23</v>
      </c>
      <c r="G9" s="92">
        <f>IF(ISBLANK(comm_deliv), frac_children_health_facility,1)</f>
        <v>0.23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0.12101503633009617</v>
      </c>
      <c r="D11" s="92">
        <f>diarrhoea_1_5mo/26</f>
        <v>0.10483444527076922</v>
      </c>
      <c r="E11" s="92">
        <f>diarrhoea_6_11mo/26</f>
        <v>0.10483444527076922</v>
      </c>
      <c r="F11" s="92">
        <f>diarrhoea_12_23mo/26</f>
        <v>6.9609220345769232E-2</v>
      </c>
      <c r="G11" s="92">
        <f>diarrhoea_24_59mo/26</f>
        <v>6.9609220345769232E-2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0.17699999999999999</v>
      </c>
      <c r="I14" s="92">
        <f>food_insecure</f>
        <v>0.17699999999999999</v>
      </c>
      <c r="J14" s="92">
        <f>food_insecure</f>
        <v>0.17699999999999999</v>
      </c>
      <c r="K14" s="92">
        <f>food_insecure</f>
        <v>0.17699999999999999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0.38</v>
      </c>
      <c r="I17" s="92">
        <f>frac_PW_health_facility</f>
        <v>0.38</v>
      </c>
      <c r="J17" s="92">
        <f>frac_PW_health_facility</f>
        <v>0.38</v>
      </c>
      <c r="K17" s="92">
        <f>frac_PW_health_facility</f>
        <v>0.38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</v>
      </c>
      <c r="I18" s="92">
        <f>frac_malaria_risk</f>
        <v>0.9</v>
      </c>
      <c r="J18" s="92">
        <f>frac_malaria_risk</f>
        <v>0.9</v>
      </c>
      <c r="K18" s="92">
        <f>frac_malaria_risk</f>
        <v>0.9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0.54</v>
      </c>
      <c r="M23" s="92">
        <f>famplan_unmet_need</f>
        <v>0.54</v>
      </c>
      <c r="N23" s="92">
        <f>famplan_unmet_need</f>
        <v>0.54</v>
      </c>
      <c r="O23" s="92">
        <f>famplan_unmet_need</f>
        <v>0.54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0.38956524482421873</v>
      </c>
      <c r="M24" s="92">
        <f>(1-food_insecure)*(0.49)+food_insecure*(0.7)</f>
        <v>0.52716999999999992</v>
      </c>
      <c r="N24" s="92">
        <f>(1-food_insecure)*(0.49)+food_insecure*(0.7)</f>
        <v>0.52716999999999992</v>
      </c>
      <c r="O24" s="92">
        <f>(1-food_insecure)*(0.49)+food_insecure*(0.7)</f>
        <v>0.52716999999999992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0.16695653349609374</v>
      </c>
      <c r="M25" s="92">
        <f>(1-food_insecure)*(0.21)+food_insecure*(0.3)</f>
        <v>0.22592999999999996</v>
      </c>
      <c r="N25" s="92">
        <f>(1-food_insecure)*(0.21)+food_insecure*(0.3)</f>
        <v>0.22592999999999996</v>
      </c>
      <c r="O25" s="92">
        <f>(1-food_insecure)*(0.21)+food_insecure*(0.3)</f>
        <v>0.22592999999999996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0.18245283105468749</v>
      </c>
      <c r="M26" s="92">
        <f>(1-food_insecure)*(0.3)</f>
        <v>0.24689999999999998</v>
      </c>
      <c r="N26" s="92">
        <f>(1-food_insecure)*(0.3)</f>
        <v>0.24689999999999998</v>
      </c>
      <c r="O26" s="92">
        <f>(1-food_insecure)*(0.3)</f>
        <v>0.24689999999999998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0.26102539062500002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</v>
      </c>
      <c r="D33" s="92">
        <f t="shared" si="3"/>
        <v>0.9</v>
      </c>
      <c r="E33" s="92">
        <f t="shared" si="3"/>
        <v>0.9</v>
      </c>
      <c r="F33" s="92">
        <f t="shared" si="3"/>
        <v>0.9</v>
      </c>
      <c r="G33" s="92">
        <f t="shared" si="3"/>
        <v>0.9</v>
      </c>
      <c r="H33" s="92">
        <f t="shared" si="3"/>
        <v>0.9</v>
      </c>
      <c r="I33" s="92">
        <f t="shared" si="3"/>
        <v>0.9</v>
      </c>
      <c r="J33" s="92">
        <f t="shared" si="3"/>
        <v>0.9</v>
      </c>
      <c r="K33" s="92">
        <f t="shared" si="3"/>
        <v>0.9</v>
      </c>
      <c r="L33" s="92">
        <f t="shared" si="3"/>
        <v>0.9</v>
      </c>
      <c r="M33" s="92">
        <f t="shared" si="3"/>
        <v>0.9</v>
      </c>
      <c r="N33" s="92">
        <f t="shared" si="3"/>
        <v>0.9</v>
      </c>
      <c r="O33" s="92">
        <f t="shared" si="3"/>
        <v>0.9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2020-03-24T06:49:51Z</dcterms:modified>
</cp:coreProperties>
</file>