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9778B068-654C-4B66-A1DE-411CA39F987A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5" i="2"/>
  <c r="I18" i="2"/>
  <c r="I27" i="2"/>
  <c r="I33" i="2"/>
  <c r="A3" i="2"/>
  <c r="A24" i="2"/>
  <c r="A18" i="2"/>
  <c r="A40" i="2"/>
  <c r="A22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1" i="2"/>
  <c r="I10" i="2"/>
  <c r="I9" i="2"/>
  <c r="I8" i="2"/>
  <c r="I7" i="2"/>
  <c r="I5" i="2"/>
  <c r="I4" i="2"/>
  <c r="I3" i="2"/>
  <c r="I2" i="2"/>
  <c r="A29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0CE24D40-319C-4A80-BA12-61800D486C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13DCA38-18EE-4D5F-90BF-E7D984FBA81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350BFF26-79E3-435C-A800-05245D05422A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A870EDB6-9EDD-40A5-801B-1E85CDD4E14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36C8BEE2-44A0-439D-B006-B623E0D334AE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AF1953A6-6A9E-4A64-B95A-70790BB14C65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6173679E-6ADE-469A-BC21-874ECE43600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52828536-34DB-41CD-804D-C25635227BD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1619BEEF-7AF4-4213-B112-807B819746F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2BCF6304-3D4D-49BE-8ECF-3DFDA0D7A74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C1C96387-C87B-47D8-B541-D00D3AE828C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B5E578AE-0ADB-4621-9021-1FA0AA5459A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0A902C32-ED04-42E0-9327-B1AC99360A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624B8B5B-5DD8-405A-80DE-9782022FFC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AEE32FC8-F84E-4741-AE7C-A2DE4044FE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EE8A16D-4FEA-447F-A317-7782354D4A2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619C710-A392-4C8C-8D8B-E3B095F60ED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7E3C0A7-E833-4270-9FED-76E2435BF7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9FBF0BB-1B4B-4A38-B699-C44BEB7A72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96D46B12-D370-407C-A9CC-AC0AEC37585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AA6B5BFF-1542-4B9E-845A-1AF84BEB4EE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CC27B074-0FF2-48D3-A046-A201D69A1F5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AAD2DE44-C637-4A82-A1D7-CC5A9F409596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E21A286D-6FBD-4633-AE74-F8165F5FBCD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FB64E78C-4B02-479D-8E8E-1045DB4B007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6D424B85-88FC-4EE4-821A-C3F3BFD9AE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BB00EC6D-FB6C-4024-9C06-FB2A9C49DC0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8A70FF98-9492-4D24-BC34-81993B32E439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AFA52484-8F4E-4512-AD90-61D00F30BE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9460124-92E4-403A-9DAD-81AB1E9744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E29A7385-21FE-465E-9962-B6B7898307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122120B5-1454-4FCC-BE09-9BF92D26EF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9395A01A-D948-4ECE-A42D-21C8F08246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043CC834-93FA-454E-AB6D-5B2234ABD054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36585E3-D98F-4C65-BC88-6F269DE9652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4324256-5886-43FD-81CA-F3C18D764B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E484ED3D-A9D6-467E-A641-90D3EFE8D0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D4D166FC-1661-46DD-A3A3-5B2C2F7F1B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95F7E378-B678-4BD2-8F1D-DB604A19DD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AA501F2F-C88B-435C-A4EC-F1ECDFDDE8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4B119535-401B-46A2-A0A7-99E437CDB6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79C13C2A-0BBD-4C3F-B2F9-C3A1F91CE4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65368617-DF69-4523-97BB-327F38FFED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AB08EB3D-37AD-4C97-A43A-C703E2F0EF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84F93850-3D66-456A-9146-4EAC90743B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CF472B07-2707-4448-B97B-4D7E4AD8BF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5F5851E4-E097-4EA8-B6F1-E9161F01C6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B0D0E65B-7867-42D5-AE1E-4FC85F9666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710743E2-1357-400B-AA93-B066583C9F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06D2292-7175-4D32-8E5C-3E346DFFFC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051339E-8C40-47D5-8958-5490AEE6E4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CC3C943A-C403-4810-B899-3EC2508C82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EE72F199-4634-48CA-916D-493290EBE6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A1FB1C7F-FA5C-4D9B-B359-3A1D3E816C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303976D4-E387-4933-9EB9-9A51C17494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72E7020F-D8E5-442B-8BD8-AFF02EC414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A33476A8-D059-4D51-ADF4-666F2DBF48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54EDF5D7-B31A-462F-8385-7793C9008A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839C1916-FF22-4AE9-A5D3-D3120498D0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A27D75B0-5F5E-4693-A0AB-CE48C4457E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46548DE8-E354-4DC9-AC86-02047DD046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C75B91B6-597E-4A48-AA7F-6CADF35ABD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11DD91B1-70A8-42E6-8667-544AA309AE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C565CCD9-0C49-4E28-86DC-0C9395A35A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738C7D62-0D34-499B-AC07-1E7ACE08A4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E3ED33C5-6889-4843-809B-00A90248EB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C5FBBE6-7C12-465D-87AD-4766B49CBB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0EB6CD4D-2053-4C13-BA63-A84D1D10AF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077295E9-61CB-401A-88D1-011CD36868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2BA90FF1-767E-4EBB-AFC0-F7B578BC7F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955E31FD-CC12-456B-9EE2-605F7785F7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6D8E1F0E-9F70-49C2-91AB-196B86AB79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DC124A12-315B-4245-8E43-62309BD604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16D1CCAA-3D43-4BF6-93D1-52A611CFE3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F445044-13BE-473C-BF8E-3819C27D57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266BE5EA-8DF4-4E30-8EFF-C25B595EB9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760F01B-9D48-48CC-BEAD-E2A95AB2C2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C9EFC3E8-0152-4A26-A632-B708C002D4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8D63FF96-5A17-4AFA-8550-2A4DA47CFE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20F03272-7F37-4491-80E0-CFA4E09836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829CA419-F8CD-41E3-BC59-AED733BB19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524E1DB-E2D0-4126-B678-F9EE43BDCF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4011684-C13B-48BC-90B4-5193A5ADCD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F174F381-4F01-49FD-969D-164FC260DB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2A3104F8-B0B1-403B-802C-5D2764A976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57B6027B-213A-4354-9046-C13DA034E2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17C8A036-8047-4FF8-B6B9-E763DE09A3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C9BCB554-4767-497B-995F-4A2FE1C2AB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23C0A3D3-6248-49F9-8630-A8830A0617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0D7AFEFA-FC33-427B-9BA3-BAFE071347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D17F541C-D6C6-462B-9BD5-3E05DF14C4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8CC30BFC-CEEE-44F5-89D6-A987EDB21F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8B28F16D-9464-4A72-8FF2-51191D89C7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9FE46BE6-0D89-483B-AA33-39A6EDB673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1BDDB907-821D-4010-819F-76AF69FCDE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7F03ED5D-0443-4F1E-A7CF-23445110DA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3E88D898-474C-43C0-83A6-85D1CDEC35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4F77C712-7B19-4067-BC00-89954313B0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F945ADDB-FB34-4611-A075-0305B89EBD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99B6884A-D2F6-4803-8E43-0EEBF7C43F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3A3FBCAD-2B34-46E8-8749-6416499782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D47A35B8-4DE1-4601-BE18-5970472F0B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CE7B8F10-5A6E-4480-9AE3-1CCF36880C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CE5B1311-32F0-44B4-852F-8C9F64C28A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F173B2FD-512A-43B0-822F-A945B34C2F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29016E21-BCA5-4D3C-ADDF-B3F572384B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0AB1834-D05D-43B2-8922-1581895F3E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48826E53-2148-4D00-9CF0-6A75B4324D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58365D80-42C8-4642-BF8A-39FDDC14A9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49FAEC58-0964-40FB-901D-B80EB769DA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FD0F8C6-703B-449A-AE4B-AE7287988C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77BBBE29-EB0C-475C-BC65-B140B91C03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78B034DB-5C9F-4772-ADD8-4FA558575B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76647482-5076-4383-8778-D78E1B414B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5F3AD1CA-5D0D-4BBD-988E-2F21463ED69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BAF1CC8-73F4-4BEB-9BDF-D051A1A06BB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18047275-49EB-439B-BD1F-3E67A62CFD1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B283460-18F6-4954-B1F1-D3332F1F35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D27556E7-1404-4C49-B9FD-6298695466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08870A3-C057-4939-A5B8-D4A2D2D2980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694F1CC5-D950-4EBE-AAC5-CEC9D827A71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D99C084A-684A-4B96-924E-FDC6BA3113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F2D143C8-1BA6-413B-BE44-40479D8C346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2B5168A8-31D0-4A33-A7A9-6711F090CEC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A4FE6021-1DBB-499F-8A00-DB55427D3CA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887F8C1-CDFB-4F96-9275-2011A9A935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3AF80B0C-C56C-4EA4-83B4-564682C3416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1762AACA-A62C-484C-BD06-182D4494969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6A836A44-AFAF-4C69-8097-69E89CDA2F5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9AA5F0E6-E888-4A31-A0D2-677B42A0257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3EBD603F-B642-4FED-9D51-23083C1352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1CA5486D-D283-4DB2-8711-DEDC89F5282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CC762C96-2E1D-4403-B00E-F98ECE8429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E975CD7F-2CF5-4490-AF2B-2C6C66611E1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A83FCEDB-8485-46B8-AE12-5ABB1B2B2AE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8BD0DAE3-C392-4182-8C79-C5A623FF4A9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FE88F781-DF76-42F9-A161-8572B3BDCA0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FC5E8DA-72F0-4B6F-B16A-19E93F8173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76E54122-830D-4F2B-9DE2-07CA4401227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539E6B4F-78DC-4246-A2E1-43D331022DE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134BC586-857C-4529-A56A-276F5086F12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7DFBC1DD-E35B-4C40-B8AE-7B003DC1C39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5639B2C-F35D-4E0F-B080-450D3CFF2D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F588D977-0233-4B12-AD74-2F023CC5F5E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462435F2-B41D-46D6-90CE-2F1C78EB7BF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01D4668-5293-4F0E-A644-EB4393B705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72895B8E-FF60-444A-B40C-2E0F7FDEBB5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0FFCB4E-789C-4E50-BCA0-EC9C5DE870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D5583AAB-2954-4200-81EA-F7DC7CDB74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F3B9556A-C3CC-4A68-A265-53D32A8F12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237BF272-408E-478C-BFFD-9C5790DC19F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58BEE08-5692-4515-8784-1EDE14A7188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CA92528-9C49-4FB1-918E-41ED81AE5E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DB89A38-E917-4933-8372-192A1D484A0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1D3F924-9F64-4CEF-97FE-D365E21FCA4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3A829885-88DD-4523-8DD3-0142C58F3E5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0488855C-DCA1-443D-86E2-2E83241616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98DD3C7-364B-4D35-96A6-159B84982C7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3E3BE7F-9280-4C1B-BBA5-35E83714F0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0C3856E5-3ACD-437D-B630-C748DF930B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D470256E-91B4-4AF6-95E9-28EF99E6FA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93EE4ACB-7F1A-466C-9DE0-62FC8CF593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4572A560-95B2-429D-A6EB-B4F1ECEC1C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F49A7C4A-62E1-44BA-9415-5F3ABDC6D7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49783468-F7EA-431F-B8E8-83E00517A0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7A0AE7B5-A98E-439F-A6D0-CCB8DA4D3B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7993C6C2-74B9-45EA-A39E-2BCCB441DA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B21EE512-63E9-48B5-BFF9-7022D38F06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913D7D48-B6F9-4F48-B34D-AE47BAE5CB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B05A8EC-85EE-4D53-8E43-E10C06271A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AE2E2225-9EB0-4A3F-AFF8-67EF4586CF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02093BE3-CA64-4807-B0F6-BF1A84852C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60BD114F-5A24-4FA6-B8C4-E9547166A9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55F7A906-1043-4B6F-B458-B8B08AF2A8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DC74FB9-7BFD-4AC1-BD0F-5B623033C1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3BC1C12D-0C98-4670-A286-C3B888C4E3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C1736C1C-9B67-4CCC-A9D1-F4F8ACF0C9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EC3F221C-F0B9-4B46-9DCC-D303483DD4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B79E1CFC-6A17-4275-B533-B7A7359B0FF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E7D6968A-0B32-4049-A3B9-DF5435D828B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34175508-9452-4EE0-AC37-62366D2DB56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6877C5EB-DFBA-43C1-A8E0-EAB7DFB8C6F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CB923BF9-0B51-46E3-A2C8-4C6203761F7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AB0F6701-C2B1-47E6-8E8F-275102F2E63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9" authorId="0" shapeId="0" xr:uid="{69B45D20-F958-45A1-86D0-2CB892C9075C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9" authorId="0" shapeId="0" xr:uid="{895954AC-7DFB-40FA-A640-4F59020682F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9" authorId="0" shapeId="0" xr:uid="{2AB3A684-CF34-4110-AEA2-2E4F32D9240A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9" authorId="0" shapeId="0" xr:uid="{AD1CFDD3-A904-4296-8916-2B25B3F9BF49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0" authorId="0" shapeId="0" xr:uid="{45F3BAC3-6683-4FC4-988A-437C1C4F9988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0" authorId="0" shapeId="0" xr:uid="{BDB6596B-ABE0-4EB3-A664-A6A28B3FEBE4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0" authorId="0" shapeId="0" xr:uid="{D70A73BE-0910-4DD7-950B-0644E855329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0" authorId="0" shapeId="0" xr:uid="{B2F618BE-A326-42BC-8C8E-8957E9DE5B1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0" authorId="0" shapeId="0" xr:uid="{60B9BA2A-9796-4CF4-8515-2CF58929767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1" authorId="0" shapeId="0" xr:uid="{86609FA5-DC92-4306-A839-93366C826B05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1" authorId="0" shapeId="0" xr:uid="{DCC57D50-3CB7-4ED0-BF21-CDF4754F6624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1" authorId="0" shapeId="0" xr:uid="{EC66D0F0-EFBD-425A-A554-355144A010A4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1" authorId="0" shapeId="0" xr:uid="{93064301-82D0-4785-B71C-8986B5F238A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1" authorId="0" shapeId="0" xr:uid="{A1BDFE1B-FEC2-4C19-9E4B-BD8F978201A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4" authorId="0" shapeId="0" xr:uid="{2A331843-7CB9-4AF9-BC93-4C6D4B04BC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A8855559-508C-4786-AEA3-33DD622AD7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65A7ADD-4537-4D5F-844B-D7DFCD03A57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FE948BD-C3FB-41B0-9E13-E3BAEF90A1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64945E7-CA37-48F1-A7B2-8DCF97BA37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82BBE3A4-25AB-468E-B05E-E0477AF910E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B90893A1-F67C-4C59-ACD1-64E36F2419F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C8FFFA40-471B-4173-B2B3-A0E659F819E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BE383D6E-C4AB-489B-8D8C-FE35C5E6B46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1C2CE85E-8D73-4111-A55A-CAF9182085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5D70A14B-07DE-4DF5-87D5-DAA52101A1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244E62EF-929B-46D0-86B5-55F52C917B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E737CE02-B7A7-42CE-995F-E14EB6F2A9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D167FD29-C2D0-4DB3-ADCA-19A8ACB183F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9F6F9589-072C-4314-A283-36907AA3B78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7331857A-70BC-4CF6-9D85-5F2D7FB6A9C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D31AFEFB-084F-4F94-B25D-BC95AAA18C62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D27E2461-7E5C-4D38-A659-08445767C94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597E948B-8389-4095-B16B-1DF095DC31E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244098BB-B2A2-47D5-80D3-F90AC6FC974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EA9E1A9C-6068-4946-93F1-470CCF41BFC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77E7CF2-C239-4FA9-ADFC-E11F5D63CA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AF8E222F-E553-4931-AF9C-8D57B576E6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B03554D4-45A8-4B9E-8EDF-AEE46BB718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81CB6699-564E-412D-8CBA-35ECFADC3F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DA22CF5B-9DF9-4E4B-A41A-68BC6B29E7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08260B16-B130-4EEA-A405-9D00F6FDD3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544A28B3-C1BC-4DD7-B5ED-5A90B0886A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6673FEFD-36A6-46A7-9208-B09895257E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B57CE362-15F0-4ABC-98FF-8F2E9AC962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6A62C4B7-BE0F-48AB-AF09-D7857FB1D6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6834F446-BD13-4BBC-B799-53D33E0661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1DD23051-2543-446C-B703-2F123AE7A0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77B6DCEF-457B-4E82-B5EF-C7106328E6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2534866F-C645-4A4D-A6D1-B033DCF0C5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8A3B13D-D99B-40CA-9FCE-AC31343F6E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39DAAF4-93D3-4B17-B61C-F7EA7C06D0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AD49CB3C-240B-4EF9-A9BD-2DA20F5350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150574DA-CF50-47C6-9DAC-DF236B20F4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70B513E4-B385-4DC1-84A9-1E9955C807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826605F8-D820-46CE-B4B7-84686FDBF4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93C2737F-FBC2-41B4-BD36-F5A7B965CF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BDE784BD-89C9-44D5-9326-A28C477B14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8CE51706-EADC-4CE3-8613-5DC5AFC14E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EA7A9723-4957-4230-8735-4479CAA4A6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A142143-647D-461B-851C-052646ED28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A50957AA-5834-4DA4-912A-588788BD80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FFE2FCDF-AFF5-4278-9F4B-AAC2E9BD5B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1086AF37-23FB-43E4-A0D8-68DAA1E00A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857C8E5D-D9AD-4142-8605-14C4DDDE12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B29C4C25-F7AD-4279-9E95-E8E0E01657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8B873BF-3A3F-4B5F-ABDA-2825A356A3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3E65EE2-F383-47BF-A36E-699AC7B671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AEE77D7A-97B5-4D93-9B80-C4375AD1CA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E3F46C3E-F5FF-4BC1-ADE9-30BE8CEFA2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CE255FFD-A34A-41DB-8522-E076D02E07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9D07D8F-7A2E-462B-AA6B-EA0D11199A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A2197CB5-2159-478C-B728-8E15F16E2D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CA925B4-CEC5-4A38-A029-E2B6D4F0FA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2A0D0F2D-2083-412D-A937-E2D7E2161D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AE3A21FD-E86E-40BC-AD5C-9307BEFD0E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6368452-D6CE-41AF-B22B-2E1D643C9E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CCB10D40-8C0A-489F-9148-892E152361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F93E4ACE-9804-4A87-9E21-B388EBA447C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6349C4DF-1DC6-4D9C-9C1D-D23AF2F896E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4B47D6B5-9EF0-4D9A-8D79-5EE7F2E7846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13A93B7E-CA6B-41E8-A0B6-0586FAAFB75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EF9B81D-0371-4860-878A-9A19F9E08427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4ADD4F6A-109A-4DA3-A239-B628FF7BD01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03F92127-7F1A-4095-A06E-F73FFF7939A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2D462F1D-6405-46CE-B1AE-6A879E0AF59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A0E9446-BF4D-423E-9B26-52B00706D00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DFBEAA13-DDA9-4366-AB89-F165D4124BE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C7661FEF-6AA8-426B-BC0C-AA085142953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F14DBB91-151F-4DCE-B461-9A96EAE2AC7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467FDBB2-1125-423D-B4B4-64DF9C446D3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DC5A73B7-E7AB-476D-8CD8-2976219A255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584A20B6-379C-43F0-BBD9-0ED1BBCB523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9A90995-8127-4724-A2F1-DD8FF903191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0EA82244-7F5A-4E43-8F67-0DFF132EAF9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611B7E08-C754-485D-89A6-ABE2F6A79C7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389C13A9-112A-4804-8911-E960141BB8D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9AAD0A51-724B-47D0-8EDE-EAC1DA86BCC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AD754421-7CBA-4F1A-B88F-E81226C8DA2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607DEBFE-55D0-4389-8869-8F36C44C43B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641D2E9B-A28F-43A7-8101-F40A90017FD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8C281E92-D9C5-4382-B825-1EA94DFFFEB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DB2B7432-32F4-4728-B21A-4B7F0FBFAE3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F81AF0B4-F65C-412D-83E6-4C87D08F6B9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70AC27F7-B45F-4F0F-9B83-E18CE9A86F3A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F7E47585-4403-4A84-B8F4-E355AECEA039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4FE07281-7741-4307-B8E7-69D7B1E988D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2177286E-20D3-4543-8ADC-C3D68E1CF1A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A28CD84F-5066-4910-8458-69686AC5A3D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7A891740-7370-4AF6-B7E9-E2AF368B1AD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B15BD049-ADB6-4704-93C3-BFB5F14B16D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AFB56A0F-ED1A-453F-BD77-8DE56C2C198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DD8B1DE4-3A8F-49F3-B8A4-B2B9DA4F872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8D0CC91-62BF-4A46-AEDD-6E1FE736A47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6724510-F216-474C-9E4E-9235773D134A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FA3A8C46-6E70-4AE7-ABE8-8FDF92DD456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086C1D5C-7B22-4ADB-82C4-9DA49A51FDD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18C0D8B1-2B41-4AC1-A964-264FB808A90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843FC1B2-559F-48E6-A2E2-CC95766D57F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CCE5ED8B-2C84-4AA2-A8B4-42DBE11B1A7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A9FCD7E4-0569-4817-BE11-B2D75E78375B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D13D6CF3-13BC-42D1-9F70-4C00986426C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42535E83-2DF7-4889-B9DB-457A6869ADD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91B801C8-F250-4557-AAC7-F97E867FE40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E4474711-8A37-464C-81FD-7BA865C978F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3A2C26A7-63BA-4DF4-8412-4520E002B4F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576F89D7-B255-4FD4-88A5-009FE0BCCC6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E12D35E7-E1E4-4FFC-AB15-3D3B6AFF228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90A878D4-B7F0-4E47-84A9-AD7F4C89508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D94E3AFB-CC09-480F-80A0-53BB9ADDAE1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56AC540B-50D0-4119-AB10-610CC3629A9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6842C23-C2BE-4010-BAEF-07497975A89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4C33F14E-D06A-4CC1-8B91-B4A9D8075BA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7F57277F-2F12-4B5A-B5FA-1F474D6DA0D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16F417EE-E836-4467-9F26-348611BBE12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DB234F1-B96C-4CF2-B2CE-4CFCB909C4C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4515E724-9362-47AD-B6F9-CA724FC5055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8EF091DC-90EF-4F31-86A7-1ECB1AEA05A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1F5E3875-C725-4375-8E88-76A4A88F7B4E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AB09C43B-D8BE-42FF-BCBF-E3D4F42C70F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<sst xmlns="http://schemas.openxmlformats.org/spreadsheetml/2006/main" count="1102" uniqueCount="271">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</sst>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67408</v>
      </c>
    </row>
    <row r="8" spans="1:3" ht="15" customHeight="1" x14ac:dyDescent="0.25">
      <c r="B8" s="7" t="s">
        <v>106</v>
      </c>
      <c r="C8" s="70">
        <v>0.10300000000000001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0.87688980102539105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0.33700000000000002</v>
      </c>
    </row>
    <row r="13" spans="1:3" ht="15" customHeight="1" x14ac:dyDescent="0.25">
      <c r="B13" s="7" t="s">
        <v>110</v>
      </c>
      <c r="C13" s="70">
        <v>0.58099999999999996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9.3299999999999994E-2</v>
      </c>
    </row>
    <row r="24" spans="1:3" ht="15" customHeight="1" x14ac:dyDescent="0.25">
      <c r="B24" s="20" t="s">
        <v>102</v>
      </c>
      <c r="C24" s="71">
        <v>0.53799999999999992</v>
      </c>
    </row>
    <row r="25" spans="1:3" ht="15" customHeight="1" x14ac:dyDescent="0.25">
      <c r="B25" s="20" t="s">
        <v>103</v>
      </c>
      <c r="C25" s="71">
        <v>0.34460000000000002</v>
      </c>
    </row>
    <row r="26" spans="1:3" ht="15" customHeight="1" x14ac:dyDescent="0.25">
      <c r="B26" s="20" t="s">
        <v>104</v>
      </c>
      <c r="C26" s="71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33.799999999999997</v>
      </c>
    </row>
    <row r="38" spans="1:5" ht="15" customHeight="1" x14ac:dyDescent="0.25">
      <c r="B38" s="16" t="s">
        <v>91</v>
      </c>
      <c r="C38" s="75">
        <v>53.3</v>
      </c>
      <c r="D38" s="17"/>
      <c r="E38" s="18"/>
    </row>
    <row r="39" spans="1:5" ht="15" customHeight="1" x14ac:dyDescent="0.25">
      <c r="B39" s="16" t="s">
        <v>90</v>
      </c>
      <c r="C39" s="75">
        <v>13.1</v>
      </c>
      <c r="D39" s="17"/>
      <c r="E39" s="17"/>
    </row>
    <row r="40" spans="1:5" ht="15" customHeight="1" x14ac:dyDescent="0.25">
      <c r="B40" s="16" t="s">
        <v>171</v>
      </c>
      <c r="C40" s="75">
        <v>6.02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2.0299999999999999E-2</v>
      </c>
      <c r="D45" s="17"/>
    </row>
    <row r="46" spans="1:5" ht="15.75" customHeight="1" x14ac:dyDescent="0.25">
      <c r="B46" s="16" t="s">
        <v>11</v>
      </c>
      <c r="C46" s="71">
        <v>0.10529999999999999</v>
      </c>
      <c r="D46" s="17"/>
    </row>
    <row r="47" spans="1:5" ht="15.75" customHeight="1" x14ac:dyDescent="0.25">
      <c r="B47" s="16" t="s">
        <v>12</v>
      </c>
      <c r="C47" s="71">
        <v>0.18410000000000001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2.6601619994574999</v>
      </c>
      <c r="D51" s="17"/>
    </row>
    <row r="52" spans="1:4" ht="15" customHeight="1" x14ac:dyDescent="0.25">
      <c r="B52" s="16" t="s">
        <v>125</v>
      </c>
      <c r="C52" s="76">
        <v>2.2765412110300001</v>
      </c>
    </row>
    <row r="53" spans="1:4" ht="15.75" customHeight="1" x14ac:dyDescent="0.25">
      <c r="B53" s="16" t="s">
        <v>126</v>
      </c>
      <c r="C53" s="76">
        <v>2.2765412110300001</v>
      </c>
    </row>
    <row r="54" spans="1:4" ht="15.75" customHeight="1" x14ac:dyDescent="0.25">
      <c r="B54" s="16" t="s">
        <v>127</v>
      </c>
      <c r="C54" s="76">
        <v>1.8330492134599998</v>
      </c>
    </row>
    <row r="55" spans="1:4" ht="15.75" customHeight="1" x14ac:dyDescent="0.25">
      <c r="B55" s="16" t="s">
        <v>128</v>
      </c>
      <c r="C55" s="76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0.55078569390005316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93.027728303273577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40.664575323137043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963.09440282969467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4.53121114934258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2.2640410376189362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2.2640410376189362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2.2640410376189362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2.2640410376189362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13.796874766932952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13.796874766932952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1.5036405668283015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22.037631612682787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22.037631612682787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22.037631612682787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39.551659581876919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24.220431056059898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4.7697722391868345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19.360281839651485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19.35650470722841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6.9845476803818087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12.637080179002892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2.6367376721788944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193.52643272006364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2.0037238135004323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3.3092492193748324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0.93099999999999994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0.99900000000000011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0.998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4.8035127560183009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3.3303714254892718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>
        <f>frac_mam_1month * 2.6</f>
        <v>0.40820000000000001</v>
      </c>
      <c r="C3" s="26">
        <f>frac_mam_1_5months * 2.6</f>
        <v>0.40820000000000001</v>
      </c>
      <c r="D3" s="26">
        <f>frac_mam_6_11months * 2.6</f>
        <v>0.40820000000000001</v>
      </c>
      <c r="E3" s="26">
        <f>frac_mam_12_23months * 2.6</f>
        <v>0.40820000000000001</v>
      </c>
      <c r="F3" s="26">
        <f>frac_mam_24_59months * 2.6</f>
        <v>0.40820000000000001</v>
      </c>
    </row>
    <row r="4" spans="1:6" ht="15.75" customHeight="1" x14ac:dyDescent="0.25">
      <c r="A4" s="3" t="s">
        <v>66</v>
      </c>
      <c r="B4" s="26">
        <f>frac_sam_1month * 2.6</f>
        <v>0.11699999999999999</v>
      </c>
      <c r="C4" s="26">
        <f>frac_sam_1_5months * 2.6</f>
        <v>0.11699999999999999</v>
      </c>
      <c r="D4" s="26">
        <f>frac_sam_6_11months * 2.6</f>
        <v>0.10920000000000001</v>
      </c>
      <c r="E4" s="26">
        <f>frac_sam_12_23months * 2.6</f>
        <v>8.0600000000000005E-2</v>
      </c>
      <c r="F4" s="26">
        <f>frac_sam_24_59months * 2.6</f>
        <v>4.6800000000000008E-2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13531.3591</v>
      </c>
      <c r="C2" s="78">
        <v>46397</v>
      </c>
      <c r="D2" s="78">
        <v>97361</v>
      </c>
      <c r="E2" s="78">
        <v>90186</v>
      </c>
      <c r="F2" s="78">
        <v>86202</v>
      </c>
      <c r="G2" s="22">
        <f t="shared" ref="G2:G40" si="0">C2+D2+E2+F2</f>
        <v>320146</v>
      </c>
      <c r="H2" s="22">
        <f t="shared" ref="H2:H40" si="1">(B2 + stillbirth*B2/(1000-stillbirth))/(1-abortion)</f>
        <v>15986.521042079432</v>
      </c>
      <c r="I2" s="22">
        <f>G2-H2</f>
        <v>304159.47895792057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13460.607999999998</v>
      </c>
      <c r="C3" s="78">
        <v>47000</v>
      </c>
      <c r="D3" s="78">
        <v>98000</v>
      </c>
      <c r="E3" s="78">
        <v>89000</v>
      </c>
      <c r="F3" s="78">
        <v>88000</v>
      </c>
      <c r="G3" s="22">
        <f t="shared" si="0"/>
        <v>322000</v>
      </c>
      <c r="H3" s="22">
        <f t="shared" si="1"/>
        <v>15902.932694409295</v>
      </c>
      <c r="I3" s="22">
        <f t="shared" ref="I3:I15" si="3">G3-H3</f>
        <v>306097.06730559072</v>
      </c>
    </row>
    <row r="4" spans="1:9" ht="15.75" customHeight="1" x14ac:dyDescent="0.25">
      <c r="A4" s="7">
        <f t="shared" si="2"/>
        <v>2019</v>
      </c>
      <c r="B4" s="77">
        <v>13395.959999999997</v>
      </c>
      <c r="C4" s="78">
        <v>47000</v>
      </c>
      <c r="D4" s="78">
        <v>97000</v>
      </c>
      <c r="E4" s="78">
        <v>87000</v>
      </c>
      <c r="F4" s="78">
        <v>90000</v>
      </c>
      <c r="G4" s="22">
        <f t="shared" si="0"/>
        <v>321000</v>
      </c>
      <c r="H4" s="22">
        <f t="shared" si="1"/>
        <v>15826.554807702529</v>
      </c>
      <c r="I4" s="22">
        <f t="shared" si="3"/>
        <v>305173.44519229745</v>
      </c>
    </row>
    <row r="5" spans="1:9" ht="15.75" customHeight="1" x14ac:dyDescent="0.25">
      <c r="A5" s="7">
        <f t="shared" si="2"/>
        <v>2020</v>
      </c>
      <c r="B5" s="77">
        <v>13330.856</v>
      </c>
      <c r="C5" s="78">
        <v>46000</v>
      </c>
      <c r="D5" s="78">
        <v>98000</v>
      </c>
      <c r="E5" s="78">
        <v>87000</v>
      </c>
      <c r="F5" s="78">
        <v>90000</v>
      </c>
      <c r="G5" s="22">
        <f t="shared" si="0"/>
        <v>321000</v>
      </c>
      <c r="H5" s="22">
        <f t="shared" si="1"/>
        <v>15749.638183272429</v>
      </c>
      <c r="I5" s="22">
        <f t="shared" si="3"/>
        <v>305250.36181672756</v>
      </c>
    </row>
    <row r="6" spans="1:9" ht="15.75" customHeight="1" x14ac:dyDescent="0.25">
      <c r="A6" s="7">
        <f t="shared" si="2"/>
        <v>2021</v>
      </c>
      <c r="B6" s="77">
        <v>13354.605</v>
      </c>
      <c r="C6" s="78">
        <v>45000</v>
      </c>
      <c r="D6" s="78">
        <v>97000</v>
      </c>
      <c r="E6" s="78">
        <v>87000</v>
      </c>
      <c r="F6" s="78">
        <v>91000</v>
      </c>
      <c r="G6" s="22">
        <f t="shared" si="0"/>
        <v>320000</v>
      </c>
      <c r="H6" s="22">
        <f t="shared" si="1"/>
        <v>15777.696258253851</v>
      </c>
      <c r="I6" s="22">
        <f t="shared" si="3"/>
        <v>304222.30374174617</v>
      </c>
    </row>
    <row r="7" spans="1:9" ht="15.75" customHeight="1" x14ac:dyDescent="0.25">
      <c r="A7" s="7">
        <f t="shared" si="2"/>
        <v>2022</v>
      </c>
      <c r="B7" s="77">
        <v>13378.362800000001</v>
      </c>
      <c r="C7" s="78">
        <v>44000</v>
      </c>
      <c r="D7" s="78">
        <v>96000</v>
      </c>
      <c r="E7" s="78">
        <v>89000</v>
      </c>
      <c r="F7" s="78">
        <v>92000</v>
      </c>
      <c r="G7" s="22">
        <f t="shared" si="0"/>
        <v>321000</v>
      </c>
      <c r="H7" s="22">
        <f t="shared" si="1"/>
        <v>15805.764729928182</v>
      </c>
      <c r="I7" s="22">
        <f t="shared" si="3"/>
        <v>305194.23527007183</v>
      </c>
    </row>
    <row r="8" spans="1:9" ht="15.75" customHeight="1" x14ac:dyDescent="0.25">
      <c r="A8" s="7">
        <f t="shared" si="2"/>
        <v>2023</v>
      </c>
      <c r="B8" s="77">
        <v>13402.1294</v>
      </c>
      <c r="C8" s="78">
        <v>43000</v>
      </c>
      <c r="D8" s="78">
        <v>96000</v>
      </c>
      <c r="E8" s="78">
        <v>91000</v>
      </c>
      <c r="F8" s="78">
        <v>92000</v>
      </c>
      <c r="G8" s="22">
        <f t="shared" si="0"/>
        <v>322000</v>
      </c>
      <c r="H8" s="22">
        <f t="shared" si="1"/>
        <v>15833.843598295414</v>
      </c>
      <c r="I8" s="22">
        <f t="shared" si="3"/>
        <v>306166.15640170459</v>
      </c>
    </row>
    <row r="9" spans="1:9" ht="15.75" customHeight="1" x14ac:dyDescent="0.25">
      <c r="A9" s="7">
        <f t="shared" si="2"/>
        <v>2024</v>
      </c>
      <c r="B9" s="77">
        <v>13425.9048</v>
      </c>
      <c r="C9" s="78">
        <v>41000</v>
      </c>
      <c r="D9" s="78">
        <v>94000</v>
      </c>
      <c r="E9" s="78">
        <v>93000</v>
      </c>
      <c r="F9" s="78">
        <v>92000</v>
      </c>
      <c r="G9" s="22">
        <f t="shared" si="0"/>
        <v>320000</v>
      </c>
      <c r="H9" s="22">
        <f t="shared" si="1"/>
        <v>15861.932863355556</v>
      </c>
      <c r="I9" s="22">
        <f t="shared" si="3"/>
        <v>304138.06713664444</v>
      </c>
    </row>
    <row r="10" spans="1:9" ht="15.75" customHeight="1" x14ac:dyDescent="0.25">
      <c r="A10" s="7">
        <f t="shared" si="2"/>
        <v>2025</v>
      </c>
      <c r="B10" s="77">
        <v>13449.689</v>
      </c>
      <c r="C10" s="78">
        <v>39000</v>
      </c>
      <c r="D10" s="78">
        <v>92000</v>
      </c>
      <c r="E10" s="78">
        <v>95000</v>
      </c>
      <c r="F10" s="78">
        <v>92000</v>
      </c>
      <c r="G10" s="22">
        <f t="shared" si="0"/>
        <v>318000</v>
      </c>
      <c r="H10" s="22">
        <f t="shared" si="1"/>
        <v>15890.032525108603</v>
      </c>
      <c r="I10" s="22">
        <f t="shared" si="3"/>
        <v>302109.9674748914</v>
      </c>
    </row>
    <row r="11" spans="1:9" ht="15.75" customHeight="1" x14ac:dyDescent="0.25">
      <c r="A11" s="7">
        <f t="shared" si="2"/>
        <v>2026</v>
      </c>
      <c r="B11" s="77">
        <v>13421.1384</v>
      </c>
      <c r="C11" s="78">
        <v>38000</v>
      </c>
      <c r="D11" s="78">
        <v>91000</v>
      </c>
      <c r="E11" s="78">
        <v>96000</v>
      </c>
      <c r="F11" s="78">
        <v>90000</v>
      </c>
      <c r="G11" s="22">
        <f t="shared" si="0"/>
        <v>315000</v>
      </c>
      <c r="H11" s="22">
        <f t="shared" si="1"/>
        <v>15856.301636415836</v>
      </c>
      <c r="I11" s="22">
        <f t="shared" si="3"/>
        <v>299143.69836358418</v>
      </c>
    </row>
    <row r="12" spans="1:9" ht="15.75" customHeight="1" x14ac:dyDescent="0.25">
      <c r="A12" s="7">
        <f t="shared" si="2"/>
        <v>2027</v>
      </c>
      <c r="B12" s="77">
        <v>13392.527</v>
      </c>
      <c r="C12" s="78">
        <v>37000</v>
      </c>
      <c r="D12" s="78">
        <v>90000</v>
      </c>
      <c r="E12" s="78">
        <v>97000</v>
      </c>
      <c r="F12" s="78">
        <v>89000</v>
      </c>
      <c r="G12" s="22">
        <f t="shared" si="0"/>
        <v>313000</v>
      </c>
      <c r="H12" s="22">
        <f t="shared" si="1"/>
        <v>15822.498916026621</v>
      </c>
      <c r="I12" s="22">
        <f t="shared" si="3"/>
        <v>297177.50108397339</v>
      </c>
    </row>
    <row r="13" spans="1:9" ht="15.75" customHeight="1" x14ac:dyDescent="0.25">
      <c r="A13" s="7">
        <f t="shared" si="2"/>
        <v>2028</v>
      </c>
      <c r="B13" s="77">
        <v>13363.854800000001</v>
      </c>
      <c r="C13" s="78">
        <v>36000</v>
      </c>
      <c r="D13" s="78">
        <v>90000</v>
      </c>
      <c r="E13" s="78">
        <v>97000</v>
      </c>
      <c r="F13" s="78">
        <v>87000</v>
      </c>
      <c r="G13" s="22">
        <f t="shared" si="0"/>
        <v>310000</v>
      </c>
      <c r="H13" s="22">
        <f t="shared" si="1"/>
        <v>15788.624363940962</v>
      </c>
      <c r="I13" s="22">
        <f t="shared" si="3"/>
        <v>294211.37563605903</v>
      </c>
    </row>
    <row r="14" spans="1:9" ht="15.75" customHeight="1" x14ac:dyDescent="0.25">
      <c r="A14" s="7">
        <f t="shared" si="2"/>
        <v>2029</v>
      </c>
      <c r="B14" s="77">
        <v>13335.121799999999</v>
      </c>
      <c r="C14" s="78">
        <v>35000</v>
      </c>
      <c r="D14" s="78">
        <v>88000</v>
      </c>
      <c r="E14" s="78">
        <v>97000</v>
      </c>
      <c r="F14" s="78">
        <v>86000</v>
      </c>
      <c r="G14" s="22">
        <f t="shared" si="0"/>
        <v>306000</v>
      </c>
      <c r="H14" s="22">
        <f t="shared" si="1"/>
        <v>15754.677980158856</v>
      </c>
      <c r="I14" s="22">
        <f t="shared" si="3"/>
        <v>290245.32201984117</v>
      </c>
    </row>
    <row r="15" spans="1:9" ht="15.75" customHeight="1" x14ac:dyDescent="0.25">
      <c r="A15" s="7">
        <f t="shared" si="2"/>
        <v>2030</v>
      </c>
      <c r="B15" s="77">
        <v>13295.996999999999</v>
      </c>
      <c r="C15" s="78">
        <v>34000</v>
      </c>
      <c r="D15" s="78">
        <v>85000</v>
      </c>
      <c r="E15" s="78">
        <v>97000</v>
      </c>
      <c r="F15" s="78">
        <v>86000</v>
      </c>
      <c r="G15" s="22">
        <f t="shared" si="0"/>
        <v>302000</v>
      </c>
      <c r="H15" s="22">
        <f t="shared" si="1"/>
        <v>15708.454283496549</v>
      </c>
      <c r="I15" s="22">
        <f t="shared" si="3"/>
        <v>286291.54571650346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129.95866133127291</v>
      </c>
      <c r="I17" s="22">
        <f t="shared" si="4"/>
        <v>-129.95866133127291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8.2147245000000011E-3</v>
      </c>
    </row>
    <row r="4" spans="1:8" ht="15.75" customHeight="1" x14ac:dyDescent="0.25">
      <c r="B4" s="24" t="s">
        <v>7</v>
      </c>
      <c r="C4" s="79">
        <v>0.17328269012841663</v>
      </c>
    </row>
    <row r="5" spans="1:8" ht="15.75" customHeight="1" x14ac:dyDescent="0.25">
      <c r="B5" s="24" t="s">
        <v>8</v>
      </c>
      <c r="C5" s="79">
        <v>3.1498030515820299E-2</v>
      </c>
    </row>
    <row r="6" spans="1:8" ht="15.75" customHeight="1" x14ac:dyDescent="0.25">
      <c r="B6" s="24" t="s">
        <v>10</v>
      </c>
      <c r="C6" s="79">
        <v>0.10424484164267056</v>
      </c>
    </row>
    <row r="7" spans="1:8" ht="15.75" customHeight="1" x14ac:dyDescent="0.25">
      <c r="B7" s="24" t="s">
        <v>13</v>
      </c>
      <c r="C7" s="79">
        <v>0.31340046118182974</v>
      </c>
    </row>
    <row r="8" spans="1:8" ht="15.75" customHeight="1" x14ac:dyDescent="0.25">
      <c r="B8" s="24" t="s">
        <v>14</v>
      </c>
      <c r="C8" s="79">
        <v>1.1738152668049356E-6</v>
      </c>
    </row>
    <row r="9" spans="1:8" ht="15.75" customHeight="1" x14ac:dyDescent="0.25">
      <c r="B9" s="24" t="s">
        <v>27</v>
      </c>
      <c r="C9" s="79">
        <v>0.18637944198964373</v>
      </c>
    </row>
    <row r="10" spans="1:8" ht="15.75" customHeight="1" x14ac:dyDescent="0.25">
      <c r="B10" s="24" t="s">
        <v>15</v>
      </c>
      <c r="C10" s="79">
        <v>0.18297863622635224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5.7434901093033994E-2</v>
      </c>
      <c r="D14" s="79">
        <v>5.7434901093033994E-2</v>
      </c>
      <c r="E14" s="79">
        <v>5.3364468837717699E-2</v>
      </c>
      <c r="F14" s="79">
        <v>5.3364468837717699E-2</v>
      </c>
    </row>
    <row r="15" spans="1:8" ht="15.75" customHeight="1" x14ac:dyDescent="0.25">
      <c r="B15" s="24" t="s">
        <v>16</v>
      </c>
      <c r="C15" s="79">
        <v>0.158963685976858</v>
      </c>
      <c r="D15" s="79">
        <v>0.158963685976858</v>
      </c>
      <c r="E15" s="79">
        <v>0.105950668835113</v>
      </c>
      <c r="F15" s="79">
        <v>0.105950668835113</v>
      </c>
    </row>
    <row r="16" spans="1:8" ht="15.75" customHeight="1" x14ac:dyDescent="0.25">
      <c r="B16" s="24" t="s">
        <v>17</v>
      </c>
      <c r="C16" s="79">
        <v>2.5905099259417298E-2</v>
      </c>
      <c r="D16" s="79">
        <v>2.5905099259417298E-2</v>
      </c>
      <c r="E16" s="79">
        <v>2.3333530445431201E-2</v>
      </c>
      <c r="F16" s="79">
        <v>2.3333530445431201E-2</v>
      </c>
    </row>
    <row r="17" spans="1:8" ht="15.75" customHeight="1" x14ac:dyDescent="0.25">
      <c r="B17" s="24" t="s">
        <v>18</v>
      </c>
      <c r="C17" s="79">
        <v>3.52251275280081E-4</v>
      </c>
      <c r="D17" s="79">
        <v>3.52251275280081E-4</v>
      </c>
      <c r="E17" s="79">
        <v>5.2080703615940097E-4</v>
      </c>
      <c r="F17" s="79">
        <v>5.2080703615940097E-4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2.5221094411480299E-4</v>
      </c>
      <c r="D19" s="79">
        <v>2.5221094411480299E-4</v>
      </c>
      <c r="E19" s="79">
        <v>1.1535727459085601E-4</v>
      </c>
      <c r="F19" s="79">
        <v>1.1535727459085601E-4</v>
      </c>
    </row>
    <row r="20" spans="1:8" ht="15.75" customHeight="1" x14ac:dyDescent="0.25">
      <c r="B20" s="24" t="s">
        <v>21</v>
      </c>
      <c r="C20" s="79">
        <v>1.7059943507815398E-2</v>
      </c>
      <c r="D20" s="79">
        <v>1.7059943507815398E-2</v>
      </c>
      <c r="E20" s="79">
        <v>2.6522182360982201E-2</v>
      </c>
      <c r="F20" s="79">
        <v>2.6522182360982201E-2</v>
      </c>
    </row>
    <row r="21" spans="1:8" ht="15.75" customHeight="1" x14ac:dyDescent="0.25">
      <c r="B21" s="24" t="s">
        <v>22</v>
      </c>
      <c r="C21" s="79">
        <v>0.109595371787492</v>
      </c>
      <c r="D21" s="79">
        <v>0.109595371787492</v>
      </c>
      <c r="E21" s="79">
        <v>0.20742471997426301</v>
      </c>
      <c r="F21" s="79">
        <v>0.20742471997426301</v>
      </c>
    </row>
    <row r="22" spans="1:8" ht="15.75" customHeight="1" x14ac:dyDescent="0.25">
      <c r="B22" s="24" t="s">
        <v>23</v>
      </c>
      <c r="C22" s="79">
        <v>0.63043653615598838</v>
      </c>
      <c r="D22" s="79">
        <v>0.63043653615598838</v>
      </c>
      <c r="E22" s="79">
        <v>0.58276826523574266</v>
      </c>
      <c r="F22" s="79">
        <v>0.58276826523574266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6.3899999999999998E-2</v>
      </c>
    </row>
    <row r="27" spans="1:8" ht="15.75" customHeight="1" x14ac:dyDescent="0.25">
      <c r="B27" s="24" t="s">
        <v>39</v>
      </c>
      <c r="C27" s="79">
        <v>0.1895</v>
      </c>
    </row>
    <row r="28" spans="1:8" ht="15.75" customHeight="1" x14ac:dyDescent="0.25">
      <c r="B28" s="24" t="s">
        <v>40</v>
      </c>
      <c r="C28" s="79">
        <v>0.10580000000000001</v>
      </c>
    </row>
    <row r="29" spans="1:8" ht="15.75" customHeight="1" x14ac:dyDescent="0.25">
      <c r="B29" s="24" t="s">
        <v>41</v>
      </c>
      <c r="C29" s="79">
        <v>0.1164</v>
      </c>
    </row>
    <row r="30" spans="1:8" ht="15.75" customHeight="1" x14ac:dyDescent="0.25">
      <c r="B30" s="24" t="s">
        <v>42</v>
      </c>
      <c r="C30" s="79">
        <v>5.2400000000000002E-2</v>
      </c>
    </row>
    <row r="31" spans="1:8" ht="15.75" customHeight="1" x14ac:dyDescent="0.25">
      <c r="B31" s="24" t="s">
        <v>43</v>
      </c>
      <c r="C31" s="79">
        <v>0.15859999999999999</v>
      </c>
    </row>
    <row r="32" spans="1:8" ht="15.75" customHeight="1" x14ac:dyDescent="0.25">
      <c r="B32" s="24" t="s">
        <v>44</v>
      </c>
      <c r="C32" s="79">
        <v>7.0699999999999999E-2</v>
      </c>
    </row>
    <row r="33" spans="2:3" ht="15.75" customHeight="1" x14ac:dyDescent="0.25">
      <c r="B33" s="24" t="s">
        <v>45</v>
      </c>
      <c r="C33" s="79">
        <v>0.1202</v>
      </c>
    </row>
    <row r="34" spans="2:3" ht="15.75" customHeight="1" x14ac:dyDescent="0.25">
      <c r="B34" s="24" t="s">
        <v>46</v>
      </c>
      <c r="C34" s="79">
        <v>0.12250000000447034</v>
      </c>
    </row>
    <row r="35" spans="2:3" ht="15.75" customHeight="1" x14ac:dyDescent="0.25">
      <c r="B35" s="32" t="s">
        <v>129</v>
      </c>
      <c r="C35" s="74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0.69861802290297936</v>
      </c>
      <c r="D2" s="80">
        <v>0.69861802290297936</v>
      </c>
      <c r="E2" s="80">
        <v>0.59474400571478159</v>
      </c>
      <c r="F2" s="80">
        <v>0.43480106407030944</v>
      </c>
      <c r="G2" s="80">
        <v>0.39188004276321886</v>
      </c>
    </row>
    <row r="3" spans="1:15" ht="15.75" customHeight="1" x14ac:dyDescent="0.25">
      <c r="A3" s="5"/>
      <c r="B3" s="11" t="s">
        <v>118</v>
      </c>
      <c r="C3" s="80">
        <v>0.24480499314947374</v>
      </c>
      <c r="D3" s="80">
        <v>0.24480499314947374</v>
      </c>
      <c r="E3" s="80">
        <v>0.32131296918912983</v>
      </c>
      <c r="F3" s="80">
        <v>0.41668435306737989</v>
      </c>
      <c r="G3" s="80">
        <v>0.45437815303149076</v>
      </c>
    </row>
    <row r="4" spans="1:15" ht="15.75" customHeight="1" x14ac:dyDescent="0.25">
      <c r="A4" s="5"/>
      <c r="B4" s="11" t="s">
        <v>116</v>
      </c>
      <c r="C4" s="81">
        <v>3.474564775039566E-2</v>
      </c>
      <c r="D4" s="81">
        <v>3.474564775039566E-2</v>
      </c>
      <c r="E4" s="81">
        <v>5.0427311779335286E-2</v>
      </c>
      <c r="F4" s="81">
        <v>7.9330770969929909E-2</v>
      </c>
      <c r="G4" s="81">
        <v>8.1790639837214574E-2</v>
      </c>
    </row>
    <row r="5" spans="1:15" ht="15.75" customHeight="1" x14ac:dyDescent="0.25">
      <c r="A5" s="5"/>
      <c r="B5" s="11" t="s">
        <v>119</v>
      </c>
      <c r="C5" s="81">
        <v>2.1831336197151253E-2</v>
      </c>
      <c r="D5" s="81">
        <v>2.1831336197151253E-2</v>
      </c>
      <c r="E5" s="81">
        <v>3.3515713316753334E-2</v>
      </c>
      <c r="F5" s="81">
        <v>6.9183811892380737E-2</v>
      </c>
      <c r="G5" s="81">
        <v>7.1951164368075957E-2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0.67928187919463079</v>
      </c>
      <c r="D8" s="80">
        <v>0.67928187919463079</v>
      </c>
      <c r="E8" s="80">
        <v>0.63318006795016968</v>
      </c>
      <c r="F8" s="80">
        <v>0.65963796909492267</v>
      </c>
      <c r="G8" s="80">
        <v>0.70949999999999991</v>
      </c>
    </row>
    <row r="9" spans="1:15" ht="15.75" customHeight="1" x14ac:dyDescent="0.25">
      <c r="B9" s="7" t="s">
        <v>121</v>
      </c>
      <c r="C9" s="80">
        <v>0.11871812080536913</v>
      </c>
      <c r="D9" s="80">
        <v>0.11871812080536913</v>
      </c>
      <c r="E9" s="80">
        <v>0.16781993204983012</v>
      </c>
      <c r="F9" s="80">
        <v>0.15236203090507724</v>
      </c>
      <c r="G9" s="80">
        <v>0.11549999999999999</v>
      </c>
    </row>
    <row r="10" spans="1:15" ht="15.75" customHeight="1" x14ac:dyDescent="0.25">
      <c r="B10" s="7" t="s">
        <v>122</v>
      </c>
      <c r="C10" s="81">
        <v>0.157</v>
      </c>
      <c r="D10" s="81">
        <v>0.157</v>
      </c>
      <c r="E10" s="81">
        <v>0.157</v>
      </c>
      <c r="F10" s="81">
        <v>0.157</v>
      </c>
      <c r="G10" s="81">
        <v>0.157</v>
      </c>
    </row>
    <row r="11" spans="1:15" ht="15.75" customHeight="1" x14ac:dyDescent="0.25">
      <c r="B11" s="7" t="s">
        <v>123</v>
      </c>
      <c r="C11" s="81">
        <v>4.4999999999999998E-2</v>
      </c>
      <c r="D11" s="81">
        <v>4.4999999999999998E-2</v>
      </c>
      <c r="E11" s="81">
        <v>4.2000000000000003E-2</v>
      </c>
      <c r="F11" s="81">
        <v>3.1E-2</v>
      </c>
      <c r="G11" s="81">
        <v>1.8000000000000002E-2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0.50235673049999996</v>
      </c>
      <c r="D14" s="82">
        <v>0.47946105178800003</v>
      </c>
      <c r="E14" s="82">
        <v>0.47946105178800003</v>
      </c>
      <c r="F14" s="82">
        <v>0.29359077824300001</v>
      </c>
      <c r="G14" s="82">
        <v>0.29359077824300001</v>
      </c>
      <c r="H14" s="83">
        <v>0.29299999999999998</v>
      </c>
      <c r="I14" s="83">
        <v>0.29299999999999998</v>
      </c>
      <c r="J14" s="83">
        <v>0.29299999999999998</v>
      </c>
      <c r="K14" s="83">
        <v>0.29299999999999998</v>
      </c>
      <c r="L14" s="83">
        <v>0.37950508955700002</v>
      </c>
      <c r="M14" s="83">
        <v>0.31277722146099995</v>
      </c>
      <c r="N14" s="83">
        <v>0.33524346542750005</v>
      </c>
      <c r="O14" s="83">
        <v>0.32438489127050008</v>
      </c>
    </row>
    <row r="15" spans="1:15" ht="15.75" customHeight="1" x14ac:dyDescent="0.25">
      <c r="B15" s="16" t="s">
        <v>68</v>
      </c>
      <c r="C15" s="80">
        <f>iron_deficiency_anaemia*C14</f>
        <v>0.27669090039380451</v>
      </c>
      <c r="D15" s="80">
        <f t="shared" ref="D15:O15" si="0">iron_deficiency_anaemia*D14</f>
        <v>0.26408028810710293</v>
      </c>
      <c r="E15" s="80">
        <f t="shared" si="0"/>
        <v>0.26408028810710293</v>
      </c>
      <c r="F15" s="80">
        <f t="shared" si="0"/>
        <v>0.16170560051722738</v>
      </c>
      <c r="G15" s="80">
        <f t="shared" si="0"/>
        <v>0.16170560051722738</v>
      </c>
      <c r="H15" s="80">
        <f t="shared" si="0"/>
        <v>0.16138020831271557</v>
      </c>
      <c r="I15" s="80">
        <f t="shared" si="0"/>
        <v>0.16138020831271557</v>
      </c>
      <c r="J15" s="80">
        <f t="shared" si="0"/>
        <v>0.16138020831271557</v>
      </c>
      <c r="K15" s="80">
        <f t="shared" si="0"/>
        <v>0.16138020831271557</v>
      </c>
      <c r="L15" s="80">
        <f t="shared" si="0"/>
        <v>0.20902597409025409</v>
      </c>
      <c r="M15" s="80">
        <f t="shared" si="0"/>
        <v>0.17227321895852746</v>
      </c>
      <c r="N15" s="80">
        <f t="shared" si="0"/>
        <v>0.1846473047309441</v>
      </c>
      <c r="O15" s="80">
        <f t="shared" si="0"/>
        <v>0.17866655742911569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0.69900000000000007</v>
      </c>
      <c r="D2" s="81">
        <v>0.47799999999999998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0.16699999999999998</v>
      </c>
      <c r="D3" s="81">
        <v>0.18600000000000003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0.11599999999999999</v>
      </c>
      <c r="D4" s="81">
        <v>0.318</v>
      </c>
      <c r="E4" s="81">
        <v>0.95900000000000007</v>
      </c>
      <c r="F4" s="81">
        <v>0.79</v>
      </c>
      <c r="G4" s="81">
        <v>0</v>
      </c>
    </row>
    <row r="5" spans="1:7" x14ac:dyDescent="0.25">
      <c r="B5" s="43" t="s">
        <v>169</v>
      </c>
      <c r="C5" s="80">
        <f>1-SUM(C2:C4)</f>
        <v>1.7999999999999905E-2</v>
      </c>
      <c r="D5" s="80">
        <f>1-SUM(D2:D4)</f>
        <v>1.8000000000000016E-2</v>
      </c>
      <c r="E5" s="80">
        <f>1-SUM(E2:E4)</f>
        <v>4.0999999999999925E-2</v>
      </c>
      <c r="F5" s="80">
        <f>1-SUM(F2:F4)</f>
        <v>0.20999999999999996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0.14279999999999998</v>
      </c>
      <c r="D2" s="144">
        <v>0.14158999999999999</v>
      </c>
      <c r="E2" s="144">
        <v>0.1404</v>
      </c>
      <c r="F2" s="144">
        <v>0.13922999999999999</v>
      </c>
      <c r="G2" s="144">
        <v>0.1381</v>
      </c>
      <c r="H2" s="144">
        <v>0.13708000000000001</v>
      </c>
      <c r="I2" s="144">
        <v>0.13611999999999999</v>
      </c>
      <c r="J2" s="144">
        <v>0.13521</v>
      </c>
      <c r="K2" s="144">
        <v>0.13431999999999999</v>
      </c>
      <c r="L2" s="144">
        <v>0.13347000000000001</v>
      </c>
      <c r="M2" s="144">
        <v>0.13266</v>
      </c>
      <c r="N2" s="144">
        <v>0.13189000000000001</v>
      </c>
      <c r="O2" s="144">
        <v>0.13113</v>
      </c>
      <c r="P2" s="144">
        <v>0.13039000000000001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0.11034000000000001</v>
      </c>
      <c r="D4" s="144">
        <v>0.10938000000000001</v>
      </c>
      <c r="E4" s="144">
        <v>0.10845</v>
      </c>
      <c r="F4" s="144">
        <v>0.10754</v>
      </c>
      <c r="G4" s="144">
        <v>0.10664999999999999</v>
      </c>
      <c r="H4" s="144">
        <v>0.10574</v>
      </c>
      <c r="I4" s="144">
        <v>0.10485</v>
      </c>
      <c r="J4" s="144">
        <v>0.10396000000000001</v>
      </c>
      <c r="K4" s="144">
        <v>0.10308999999999999</v>
      </c>
      <c r="L4" s="144">
        <v>0.10223</v>
      </c>
      <c r="M4" s="144">
        <v>0.10138999999999999</v>
      </c>
      <c r="N4" s="144">
        <v>0.10057000000000001</v>
      </c>
      <c r="O4" s="144">
        <v>9.9769999999999998E-2</v>
      </c>
      <c r="P4" s="144">
        <v>9.8989999999999995E-2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0.18239071490664752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0.16138020831271557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0.18288573376106124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0.51483333333333325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0.84633333333333338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13.766999999999999</v>
      </c>
      <c r="D13" s="143">
        <v>13.477</v>
      </c>
      <c r="E13" s="143">
        <v>13.202999999999999</v>
      </c>
      <c r="F13" s="143">
        <v>12.946</v>
      </c>
      <c r="G13" s="143">
        <v>12.707000000000001</v>
      </c>
      <c r="H13" s="143">
        <v>12.481</v>
      </c>
      <c r="I13" s="143">
        <v>12.269</v>
      </c>
      <c r="J13" s="143">
        <v>12.066000000000001</v>
      </c>
      <c r="K13" s="143">
        <v>11.872</v>
      </c>
      <c r="L13" s="143">
        <v>11.685</v>
      </c>
      <c r="M13" s="143">
        <v>11.506</v>
      </c>
      <c r="N13" s="143">
        <v>11.329000000000001</v>
      </c>
      <c r="O13" s="143">
        <v>11.167</v>
      </c>
      <c r="P13" s="143">
        <v>11.007999999999999</v>
      </c>
    </row>
    <row r="14" spans="1:16" x14ac:dyDescent="0.25">
      <c r="B14" s="16" t="s">
        <v>170</v>
      </c>
      <c r="C14" s="143">
        <f>maternal_mortality</f>
        <v>6.02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0.10300000000000001</v>
      </c>
      <c r="E2" s="92">
        <f>food_insecure</f>
        <v>0.10300000000000001</v>
      </c>
      <c r="F2" s="92">
        <f>food_insecure</f>
        <v>0.10300000000000001</v>
      </c>
      <c r="G2" s="92">
        <f>food_insecure</f>
        <v>0.10300000000000001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0.10300000000000001</v>
      </c>
      <c r="F5" s="92">
        <f>food_insecure</f>
        <v>0.10300000000000001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0.10231392305605769</v>
      </c>
      <c r="D7" s="92">
        <f>diarrhoea_1_5mo/26</f>
        <v>8.7559277347307701E-2</v>
      </c>
      <c r="E7" s="92">
        <f>diarrhoea_6_11mo/26</f>
        <v>8.7559277347307701E-2</v>
      </c>
      <c r="F7" s="92">
        <f>diarrhoea_12_23mo/26</f>
        <v>7.0501892825384604E-2</v>
      </c>
      <c r="G7" s="92">
        <f>diarrhoea_24_59mo/26</f>
        <v>7.0501892825384604E-2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0.10300000000000001</v>
      </c>
      <c r="F8" s="92">
        <f>food_insecure</f>
        <v>0.10300000000000001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0.33700000000000002</v>
      </c>
      <c r="E9" s="92">
        <f>IF(ISBLANK(comm_deliv), frac_children_health_facility,1)</f>
        <v>0.33700000000000002</v>
      </c>
      <c r="F9" s="92">
        <f>IF(ISBLANK(comm_deliv), frac_children_health_facility,1)</f>
        <v>0.33700000000000002</v>
      </c>
      <c r="G9" s="92">
        <f>IF(ISBLANK(comm_deliv), frac_children_health_facility,1)</f>
        <v>0.33700000000000002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0.10231392305605769</v>
      </c>
      <c r="D11" s="92">
        <f>diarrhoea_1_5mo/26</f>
        <v>8.7559277347307701E-2</v>
      </c>
      <c r="E11" s="92">
        <f>diarrhoea_6_11mo/26</f>
        <v>8.7559277347307701E-2</v>
      </c>
      <c r="F11" s="92">
        <f>diarrhoea_12_23mo/26</f>
        <v>7.0501892825384604E-2</v>
      </c>
      <c r="G11" s="92">
        <f>diarrhoea_24_59mo/26</f>
        <v>7.0501892825384604E-2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0.10300000000000001</v>
      </c>
      <c r="I14" s="92">
        <f>food_insecure</f>
        <v>0.10300000000000001</v>
      </c>
      <c r="J14" s="92">
        <f>food_insecure</f>
        <v>0.10300000000000001</v>
      </c>
      <c r="K14" s="92">
        <f>food_insecure</f>
        <v>0.10300000000000001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0.58099999999999996</v>
      </c>
      <c r="M23" s="92">
        <f>famplan_unmet_need</f>
        <v>0.58099999999999996</v>
      </c>
      <c r="N23" s="92">
        <f>famplan_unmet_need</f>
        <v>0.58099999999999996</v>
      </c>
      <c r="O23" s="92">
        <f>famplan_unmet_need</f>
        <v>0.58099999999999996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6.2986871101379183E-2</v>
      </c>
      <c r="M24" s="92">
        <f>(1-food_insecure)*(0.49)+food_insecure*(0.7)</f>
        <v>0.51163000000000003</v>
      </c>
      <c r="N24" s="92">
        <f>(1-food_insecure)*(0.49)+food_insecure*(0.7)</f>
        <v>0.51163000000000003</v>
      </c>
      <c r="O24" s="92">
        <f>(1-food_insecure)*(0.49)+food_insecure*(0.7)</f>
        <v>0.51163000000000003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2.6994373329162508E-2</v>
      </c>
      <c r="M25" s="92">
        <f>(1-food_insecure)*(0.21)+food_insecure*(0.3)</f>
        <v>0.21927000000000002</v>
      </c>
      <c r="N25" s="92">
        <f>(1-food_insecure)*(0.21)+food_insecure*(0.3)</f>
        <v>0.21927000000000002</v>
      </c>
      <c r="O25" s="92">
        <f>(1-food_insecure)*(0.21)+food_insecure*(0.3)</f>
        <v>0.21927000000000002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3.3128954544067273E-2</v>
      </c>
      <c r="M26" s="92">
        <f>(1-food_insecure)*(0.3)</f>
        <v>0.26910000000000001</v>
      </c>
      <c r="N26" s="92">
        <f>(1-food_insecure)*(0.3)</f>
        <v>0.26910000000000001</v>
      </c>
      <c r="O26" s="92">
        <f>(1-food_insecure)*(0.3)</f>
        <v>0.26910000000000001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0.87688980102539116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2020-03-24T06:49:53Z</dcterms:modified>
</cp:coreProperties>
</file>