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AAE5D02F-3F07-44EC-AF7A-98823C3E05BF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I10" i="2" s="1"/>
  <c r="H11" i="2"/>
  <c r="H12" i="2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18" i="2"/>
  <c r="I27" i="2"/>
  <c r="I2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38" i="2"/>
  <c r="C8" i="51" l="1"/>
  <c r="C7" i="51"/>
  <c r="I15" i="2"/>
  <c r="I13" i="2"/>
  <c r="I12" i="2"/>
  <c r="I11" i="2"/>
  <c r="I9" i="2"/>
  <c r="I8" i="2"/>
  <c r="I7" i="2"/>
  <c r="I5" i="2"/>
  <c r="I4" i="2"/>
  <c r="I3" i="2"/>
  <c r="I2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38563A79-ED06-4219-A6DF-5FE889F29C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8B1E2249-1D33-4E85-9F04-D00EC27D09F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A0D46CC9-3891-4E9A-81AE-4621ADAB878B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737370AD-6BCF-423B-8813-40CEB8CB65E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50B9A71E-7070-4C64-9203-E6226C7A74D7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54B1F6BC-A01F-4ECB-BD15-DB7F8C7AD606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0BBA4AFE-85C7-4B2D-8BA4-E25BB4736274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F7F43A94-429E-4EE1-94F0-059A52A0099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F3D0914E-AE03-4F81-8618-ABB932AB985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18AE4051-3677-4020-A24E-0502C8801F1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8CE9E5D1-8892-45DF-8992-BBA88705BFA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C919F634-5EE9-4176-B978-F0DD527DE85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510B4D96-5075-4007-BECD-7D913579C7E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138574D6-BF61-4E51-AFAC-FF9FB3578ED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508FA7A2-FFAE-4EEC-9A7A-35E9CB8A295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AF50F0A5-44AB-4235-B79C-DDC4811F93F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23A7B064-5347-4E1E-97E9-83444E7F30B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428E6EB0-0A3D-479F-988F-54D25222948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A079417-A38C-4473-BAF0-EFFD7BF29D8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F6E25EE7-C354-4F74-85CA-B370D602A4A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E1A1757F-B071-4530-899E-E7399886EA0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BF72E879-6A82-4E65-8987-1B06B0B7BFB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ADC3EEAB-8198-4CD3-BCFC-194EF879E3C5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B0389AB0-0676-4529-A691-1DA77F66441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9F8B3421-0DC7-4816-B6C7-84F733D2B6F8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6CC515E8-C3E1-4231-B48C-1CC03A6B109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DBFB0B44-6A8B-40FF-8563-C6DD0EDEA00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28C6021C-C54F-4CA3-948A-C5383385B0F6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E1B63404-8AE5-42F8-B384-625033CA7C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F116B519-C1F4-4A15-B7E0-2698749072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CF01459D-12E9-4ACB-9F80-90FD48963A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20C16287-2C47-439E-8170-5310398DE1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1FB093F6-34A9-4014-BBCF-E3C1DD7583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41FC3808-E011-40FE-B7BD-90554BAF1F89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8D5F0B98-52C6-444A-A83B-56CC555FB013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AAE2079A-ADB2-4EDB-B31D-BCF1DFC563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EBFB3D1C-F235-4C98-8E42-33B7CF8405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166C1E4F-8F29-442B-BD75-6B2C76948F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3DFB172C-CDDF-4D60-9F72-2A31E2217F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23F2D27F-88EC-4ACF-A3E4-0AA5B12FC2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C1E80A63-122E-46A8-9A4F-2644BF760D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5FA44248-6296-4AEE-B7DE-3E31644ACD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103EEB74-365A-48D5-A57D-5A4AA2CE2E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3DBAB3D0-0F91-48E6-A471-1791A671B5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2A39D07B-E62E-4265-A408-E947CA68E9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BF2BDFCF-A6CF-4EBA-A5CC-0BB6D6F232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2D159FCE-6D65-458E-85B5-1F992DBDBA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83DA3E8A-FC4F-4944-9FF2-455589CD8D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795AC4D4-8536-4933-B0E6-DF2411728E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8011D6DD-3C1A-4918-9268-54BEB25938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36A870A1-2E56-49D3-A8ED-E04D3526F1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9246E2D9-C8CD-45B6-B32F-2CCEB44540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30E68ACA-3725-4D20-9F4C-A036039AA9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1ED63EFB-19E7-44FA-AB9E-CEE64146FF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25769493-1434-4BA5-94A7-3D95D7BDD2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E50BDF10-716D-449A-B48A-9CA6BDA915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75029034-534D-4026-950F-E50C61D7A5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685E9232-0FF0-436C-B13F-B9127D6DBB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1CE36EAD-38A5-4939-A5AC-8E322D10CF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E51FFA80-33F6-458A-BF2F-AC7E95E8A3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C55E37EE-C92A-4F41-9C5D-39332CF013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5380B0D5-4256-4C0B-8497-B56595091F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43188E9C-A99F-4094-8D9D-6AB7F05E73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482EB91E-9341-49CD-BFAE-8032B3EFC4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19418CDB-B05C-48FA-8DB7-2792375323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0BE1897F-04F8-4DB1-A41E-687E72C7E9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9959D08-CF7A-4DC4-BC42-80775A3707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AA29FDF4-80FD-4B79-9616-421D316A27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CE9BD812-7320-4767-ADFE-1FF35B4987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85490A6A-52A0-49D6-9702-3866007ADD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1F7148C9-F668-48F9-9CDC-D77A3E3D3D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6DBB0D1B-A7CB-4F11-96AA-F6F3B0A058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5357E57F-D4F7-4CBD-B23B-0587E5F2F4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CAC8B3A4-A154-4252-802F-D14674A59A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09435C51-F80A-462F-9BC4-0B9DA93344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37CE944B-E1E2-4779-9CD0-A28FC974DD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A13846B2-B74A-4C91-97C0-7A0CC694F8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67BE32B9-6AA0-4655-96CB-A723968F9E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9B8B3947-4CC5-4ADC-B74F-F59699F320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DC652BC9-FEC6-40E0-B095-D45625F91D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1DC5DFAA-EB42-43A5-AAF5-E32E082154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DD6B1A5C-70AA-47D2-A185-3AEBF9976A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B3AA267D-192C-4A5A-A848-15AA777489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F5C439F5-7288-43EC-8879-BAC62CBB5B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0CC98A76-C2DA-445D-A544-005BA92D55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740626F9-A190-44CC-9A39-40FC1A9EAC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3DD0D771-0F87-4580-9BD9-871C22C189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404541BA-0A4E-4B95-8BFC-EDDA0F76A3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E1BAF1D5-DEBF-4C6B-98FA-A14DC0F056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BB5C6B6B-D4B0-43C3-9E0C-7062B0A550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F09A0AE5-4092-4DC7-ACD8-66F8751A60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0DAF9781-E03C-4DFC-A30A-EF24BFBEF2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5AC4C68E-EB2C-4E6C-AA64-817399F65B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198923ED-10E7-4A85-AF8F-2A385D3C6D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C240EA4E-936D-4482-B0E4-59E69FE0E4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02EB58E3-BEB9-4D42-8867-508DDD512C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80301315-C7F0-4465-8BE0-03D140DBC4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59A25F7D-B054-4B78-BCDB-C785C94A5C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67C026FA-E019-4B97-9D5E-4071767392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D9C953E0-6A83-4334-93DE-845C13021C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E6FDB7BA-3B34-4F05-ACF2-F732A3DC45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18CDA29E-B3E5-4159-8834-38CA0A9DDB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D1A1D5AF-0F98-420F-97D8-744498063E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8BF5C7DB-E03E-42DC-BFCD-0148C50661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538F0EC9-7210-4586-97F0-E362517933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3A73CE51-D723-4B4A-9F7A-0DA079799D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971B533C-F5D9-4ABF-AFA8-C0546E3013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3E34AAF4-BA79-4497-B0B6-BD195D90B9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D8F5210B-0B04-4419-AD93-81D51A5E6A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C0C6B1A6-79A9-47BE-A3D6-D29987FF0D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1474D867-C59B-4329-95E0-DD89539071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E02EF71C-BBDD-4C37-A0A4-A57F91F9CE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259D9B51-2478-4C44-899A-D1A5BBE2EB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975FD672-0A1D-4E79-ABBB-2D3B8781BEF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E41CE58F-6884-416C-A738-2C81B187872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045F0D09-F983-4DF3-A246-00364F94E27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9413B818-6483-4319-9756-14B8D889BA0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23CB5137-4887-455F-BA66-082393AA43A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E86070AD-DE30-4646-A9B4-EC6C3956EFA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24FE85CD-AFEE-4A33-9366-58D109D5B64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DC96E1D7-5C07-40A7-9C2D-C726F52D9FB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26EF530E-EAC3-48BB-8B79-18E40B3C95A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631991F6-A2FE-4A6A-803D-F0EE5145CF8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BE5C3DA5-80E2-43FB-8146-85C0A891A80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4A71EF8C-5ABE-4826-9EB5-437DA4ADA72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31F689D6-B633-4E5A-971F-E9191E7DD6F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0AC15FF4-805F-4510-9A51-C345F2C4ED4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093404A2-E441-4128-B984-48BA140C936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FBCD17ED-4CCA-409E-B441-260A1BF22F1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C7DC8DE5-ECC2-4759-8318-BFA85A567AF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F92D90E7-FFF0-4F47-A799-8616A01A8D5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E5449F50-EB72-4413-A432-3C187E2F76C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81B42870-D7D7-4B31-8B3D-7ADC1D92292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809E14F1-6123-4BE4-9236-31379978F36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D459BB5C-8DC4-4782-9FB9-8221349738B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6B15AB9E-6F24-459C-9421-57BC26C35A3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554B66A5-1E68-4F89-8B94-DA93113286B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2E52616F-73A6-473A-B0CC-63F9F285980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03AB6D9A-7A84-433C-AE4C-7DD744B0EEA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87C2AE9A-DDCC-4D58-9CD5-18412B1BEE4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05AC08AB-8179-452B-8CB0-5A492F9C53F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77581E2F-0708-417B-BA97-248DE8069C1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7485C180-4492-44BC-945F-0DD35400027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39A9781C-A546-42AB-9AC3-1C72D43B4F3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7B79CAEE-B46C-4A3F-AD6D-EE8C74B2316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2CDFB731-642C-4E0A-9A67-48C0CD05033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EE215D02-6FB1-455E-8080-9884FDB36B9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9DA35455-351A-4628-B4C4-EBC423DB1C8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AC39236C-4679-424A-9669-25C49B70D63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00BACCFF-CE9B-4547-A003-A96E29C36E0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92D2D541-F998-47B7-839F-0DF37936C30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B2A0EC87-A9DA-4DF9-86F6-978E638A361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A4EE88CF-AFBA-45FA-9B8B-4E75FB0123C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C0BFE19-45B4-4E2A-8362-F9296D4D3EA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1D9ED731-DEA8-4A1E-B5D9-57E7DE8A5B1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9F294281-2690-43F4-8E5B-2F8C0315BC8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71DE60FF-7F90-487A-B900-2B278083848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58FCA262-E65C-41AD-8839-14627CEFAF9C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1FF29159-35CC-4671-8ED5-42E1FE7C472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D5B3F3B8-7074-40A0-8D34-2BCF769481A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52376423-8779-425E-B458-08CAD4902D7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63B4BF79-2858-414F-B5F5-D6FC5597EF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39595532-77CA-4F22-A650-8A810623268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82F8F205-8F75-4506-A965-5B19193A9FA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521A298F-4060-433D-AA4F-D5CC9A67B68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1C720BEF-E990-4441-9047-411FB565E9A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161761A0-E861-423E-ABAF-BD23D4E2C4F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ABC0AD8E-C18C-4C32-B768-13FCDF18B67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EFA82FD3-2D32-46E7-9CEA-B1DAC36C28B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B227FCE8-E0D4-412C-ABE4-2D264784F3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ED90A50A-7960-49FD-9154-0158058126A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371BFA4A-CD69-458F-8F67-2CF2C775C9E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ED0FC487-B52A-47B2-8C22-AE2E13B299E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21B3095F-0211-4DCF-9E43-B7EF5481CB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DA984C23-6055-4AFB-B754-6724D45B2D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0FA42080-2925-4AEA-B725-4786DCBDEB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1C215940-C19E-456E-8F5E-52A748A83FE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59CD7705-1BE4-4504-9B3D-469066774C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9B4C6F56-2A6A-4E18-91C3-8D0DA8AE69B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EC082953-438C-43E1-8EF5-A450D15218C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AF87D633-96F6-4970-9BBD-AA3F768477B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4AF1B188-F5FD-4256-BD57-AC1C2E3A18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15A92EB6-A712-4BAA-A319-6ADAD947D6D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014404C9-63C5-435D-BFEE-6CC83EA8021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8BF0856B-E179-47D9-8412-F6D90F1E34F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102F8993-9B79-4B40-B36E-255CAAF7C3B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63C071F5-69BD-4EEF-A012-4925B41E7FB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28018C2A-D823-4C82-B329-EABBCF1E34B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84E059B9-E769-4CA9-867A-C285A684658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4B69F99E-1ACB-4C1D-9A6E-83A11172D1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4BF01681-B0AA-47D3-8D41-E3251B4523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56F45522-636A-4DBB-BF4F-8DC88C679A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FFFFF08C-404D-43B1-8C21-BFFBACFD269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40B29F4D-B187-4518-8AE1-3B97917A277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F6D2E641-020A-4CCB-B072-3563921958B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2D9904D9-48DC-448E-8A1D-91DB40B50D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63CF4810-02D0-4C8C-B30A-5FF9D57C68A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452BA5E7-A6A9-4C75-A8C2-2E3BA331B8B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9A7F856E-EC5E-4F23-97DC-841B7E87A2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9C04CA7F-97A7-402E-ADF0-5BA9DCAA3CB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32C9ED14-74EA-4074-A2AA-C180DF98049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DDF2300B-657E-488D-8D45-5F6E7379057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C5D3E54E-6227-4A48-847E-87E732F0899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C448F62B-8D62-4840-A000-A0776F5BF20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6B272707-D437-42D1-B667-8AA2A09B22E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7DA44DE3-BCE4-4BE8-9DBF-0D75B96686C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E4920D4D-6036-44E0-B750-8051782B0A0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B4FC2508-BAEF-4434-90EE-1BDDD7FBC1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333E6C5E-1B3A-40FF-98ED-CDC3E755F4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B991B79D-27B0-4C00-B4A0-56BD2E54F9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01EEBC33-7FA5-46BD-AA9D-2F3AF7F496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2F9977F1-7A48-4280-80E2-B1C1E8FFE74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D226C173-39B7-4E61-8C77-DFF45CED3A3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096B3AA0-0DD5-46C0-9212-4E444AE45FD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E53E6FB2-4D49-43D2-9875-F23BAF14B656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B0F21F09-7F37-4DA6-8BAD-BD6BB4D5B14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42F7F1B2-D7EE-4463-901D-3E413CE268B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71EC6103-A145-4D3C-9C18-E24EFBFABDD1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F5DA70FA-087C-4357-ABB3-38295E96EC31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67EF8CD8-8435-4F8F-A054-98478B446F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5682BD83-1270-43D0-B076-65377BCA42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3DA17DA6-3CDE-45C3-B6BE-5E9401D7C4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6CBDC6B1-65F8-4EBF-A96B-80307F42F32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4D3E2670-DDDB-4D1D-B335-36BA28AB38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EF457FBF-06A8-4F36-A6CE-45EEC40615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789DBAD8-36E4-446E-8B35-FBB480F822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2827A03C-2E95-4782-BE54-5E3F16FB69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ABBB46B7-86C9-4E32-9F3A-16056BBA30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073CFB59-2D1A-4649-A540-9A8BE6A27F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21081034-9FD6-448C-A21E-DD27779AFD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6D06F1B2-D359-4347-9C28-E8F3D1091E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32F394AF-00B2-4AB3-9116-83AEE9CEAD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93EEA4CF-D2EE-4F25-979C-4F9F1EA11F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D7E2B8DB-0E9F-4846-94DF-DCFDE4B0132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A79CB9BC-F521-46FD-94DD-C32EABAF1A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384C5A44-BE7D-4073-A51A-B964366765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CAC7F06E-E000-4541-A6F9-AC7A4B40D5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C1D33097-3DC6-4C9D-BC54-5D5AF76DA0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CAEB7B78-943E-49AD-A09B-8B1109DBEA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034B79D8-D972-4B46-9959-FFF841B01F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C8E264B6-C9D5-48AC-9CB3-C254537EC8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FDE787B3-5B7C-4AAC-81ED-7378B6BFEE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0A840318-CDB3-47FB-BFA8-5C02C07EEE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64F1C455-FACD-4E5E-89FD-38AD9671D1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A481E9BC-8FCC-4D3F-96E1-E5E8557CCF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D4FE594E-2A95-4644-A8F2-006C4328E5D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3940972B-7242-4CEE-8130-AD4FB015757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EF13AB80-9EB2-41DE-9043-8625BEAD7B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E4E8E663-3178-4437-AC39-D82A9E8C5F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FE227226-215E-4EBA-B30A-A0BC5B7E84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0BFEA5C9-2F44-4EAD-B545-E8D5A1BBCB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8C9F4CC7-02B0-4C6A-B7B9-D1BA5F11BA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673E20A5-7E38-48D0-B451-2D22E607E8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CC45F7E8-ABDA-4F89-88D5-67E0702E75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F0D6C456-9904-4182-AC51-1E69CE6DF7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9D8EAF05-542E-42DE-9E02-65B97B53E4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82D9604F-85AB-4C38-8367-6FE9E138166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D7EBD5C6-5607-4C25-9454-506CE13F06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95B7C420-55BC-4690-8533-8191015744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F7C1CEB0-9193-444D-A996-7BD0C8217E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AB75920D-94F4-4683-84A3-3E4A1D05EE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88D28234-28F9-4F62-9DD2-405D0D94287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A5A733B9-A7B2-4B64-A01B-9E8F564269A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3A7ED8A6-2024-4868-AFFA-1FC3E192B69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81C4CC82-F423-4699-AB6F-7083AD1E6A7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A17A6AEB-F67F-4E8C-A0F4-40C50D31F8E2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E7846FBC-DF56-4111-8EEE-8B02BEB2F9B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A8D71D54-BD3C-42EE-AD0E-3A6F0C16A7A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6AC8A6C4-0153-4C1A-BE09-3D599B3F1C5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39EB047E-613B-46DB-AB53-F8A49BE54CF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422E80C4-91FB-4C79-AFDD-5F2DB7CF26D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2800F398-0C96-4DDA-8BE2-D41A2A22B14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98BB88BE-1ACD-4F67-8A1A-3C2C3C22FD2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66637EA9-E3D3-4E2F-A919-A10E3D0F309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F4030D60-9ED8-47DD-A9C1-635BA5EC3BA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D0FBDCDA-F960-4DB3-9A7C-856993E208C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57C11098-AB4A-4985-9DCB-5AF65384CD2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8A572BC1-8239-4BBA-8AEC-86EECF1A160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A47516C5-5B85-44FF-9C11-61EB57CED2B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87CB9DDA-566E-4A31-9A5E-61DB64C8EA1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61D9C67A-76A1-4F28-B09B-61CDB1DA3F8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F441F710-EC5E-4685-939A-C0F282A3728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01940903-4712-4B31-B48A-7DDBA1E6880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7E54FD88-9FAE-486E-96CF-893C4120DC6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327D5541-1C6F-419D-BAE1-ECCDF6BDC18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FD60EEE1-2F62-4495-AEA5-B0F6FA7032B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E6818A6F-B82E-4D6A-93C0-941125AFFEF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BA108DDF-AAFC-4ED9-A0D0-8ABB193B4D10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64C9105B-9E95-417E-B345-08E87B8B3975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97EB4818-76D1-42F6-8A8A-CAB89743459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616A0DA3-F9DE-4879-9027-B59B9DEB4B3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AFF3FBCD-EA82-406D-AF18-69307B35571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9E9135E6-AD95-4B5B-9A59-B7032BBAE44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B619B4BF-B516-4441-B869-C3E52F21C63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2482634C-B2ED-4C6D-98DB-3F6B0B9B8E77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049DF71C-80E0-4523-8414-BF4126231BC6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DD4FDD37-71F4-4182-946E-1E87BB05F32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233EB10A-45A1-45DC-A4A6-901D056A26E5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C5894EDE-3970-484B-B0B7-AB562351AC7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F23B381A-BBE1-468C-9E93-F4946C89504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0A9B5793-8B6D-4036-801F-930FC8A9EAF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E3AAE881-4D6E-442D-9836-30E36830090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739EFBE5-19D6-4D77-BE5A-4E60A1844F0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7379A3FD-6EDA-468A-9F2D-6B4B592EC934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9E16CBD3-CC82-4871-9F40-4F8A59C115C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D0145B26-0387-492E-84A3-A76C559062F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F2D62B35-B426-4B15-ADC5-548B2979DA6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A5901115-7A87-4206-A07A-EA16E86E93B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CC8A6B9B-9F52-4D23-9289-2A623705DE7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5D0C4199-DE1F-4350-BF91-81371E6B5A6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A644610F-6074-4B4F-89AB-2A60C2D2DB0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7B2E4AE2-854C-48C2-BEA9-E39070C30C3C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5A68B432-B88F-4F6D-9D5A-1AA5FDDF67F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E105FF23-7FAB-4FF1-ABC7-C66A43460F8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0D603B9B-4495-491D-8CE7-5636608A779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E81A2D46-C5F2-4D2A-B169-5FE24DE59DD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4D4D3B37-FC4D-41E4-BD73-3FA8130AB09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EF9DB583-1EAD-4526-9C64-3D7F43F3AC0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34F3249D-1B36-4BD9-B085-D6BDDDAB202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C424BB56-403F-4C87-87A2-1CA5C37F3AD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AA91CEC9-9EA6-43E8-8DC3-E5D5B860AD0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F2C28BD3-4892-45C9-8743-0FE98DC87BEA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87654BCE-CCA9-4EFB-B17F-5DDBA81FF95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<sst xmlns="http://schemas.openxmlformats.org/spreadsheetml/2006/main" count="1102" uniqueCount="271">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</sst>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186667</v>
      </c>
    </row>
    <row r="8" spans="1:3" ht="15" customHeight="1" x14ac:dyDescent="0.25">
      <c r="B8" s="7" t="s">
        <v>106</v>
      </c>
      <c r="C8" s="70">
        <v>9.6000000000000002E-2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0.777842483520508</v>
      </c>
    </row>
    <row r="11" spans="1:3" ht="15" customHeight="1" x14ac:dyDescent="0.25">
      <c r="B11" s="7" t="s">
        <v>108</v>
      </c>
      <c r="C11" s="70">
        <v>0.95400000000000007</v>
      </c>
    </row>
    <row r="12" spans="1:3" ht="15" customHeight="1" x14ac:dyDescent="0.25">
      <c r="B12" s="7" t="s">
        <v>109</v>
      </c>
      <c r="C12" s="70">
        <v>0.79200000000000004</v>
      </c>
    </row>
    <row r="13" spans="1:3" ht="15" customHeight="1" x14ac:dyDescent="0.25">
      <c r="B13" s="7" t="s">
        <v>110</v>
      </c>
      <c r="C13" s="70">
        <v>0.39600000000000002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9.9900000000000003E-2</v>
      </c>
    </row>
    <row r="24" spans="1:3" ht="15" customHeight="1" x14ac:dyDescent="0.25">
      <c r="B24" s="20" t="s">
        <v>102</v>
      </c>
      <c r="C24" s="71">
        <v>0.6048</v>
      </c>
    </row>
    <row r="25" spans="1:3" ht="15" customHeight="1" x14ac:dyDescent="0.25">
      <c r="B25" s="20" t="s">
        <v>103</v>
      </c>
      <c r="C25" s="71">
        <v>0.27869999999999995</v>
      </c>
    </row>
    <row r="26" spans="1:3" ht="15" customHeight="1" x14ac:dyDescent="0.25">
      <c r="B26" s="20" t="s">
        <v>104</v>
      </c>
      <c r="C26" s="71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11.6</v>
      </c>
    </row>
    <row r="38" spans="1:5" ht="15" customHeight="1" x14ac:dyDescent="0.25">
      <c r="B38" s="16" t="s">
        <v>91</v>
      </c>
      <c r="C38" s="75">
        <v>13.3</v>
      </c>
      <c r="D38" s="17"/>
      <c r="E38" s="18"/>
    </row>
    <row r="39" spans="1:5" ht="15" customHeight="1" x14ac:dyDescent="0.25">
      <c r="B39" s="16" t="s">
        <v>90</v>
      </c>
      <c r="C39" s="75">
        <v>15.5</v>
      </c>
      <c r="D39" s="17"/>
      <c r="E39" s="17"/>
    </row>
    <row r="40" spans="1:5" ht="15" customHeight="1" x14ac:dyDescent="0.25">
      <c r="B40" s="16" t="s">
        <v>171</v>
      </c>
      <c r="C40" s="75">
        <v>0.23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2.3399075874675002</v>
      </c>
      <c r="D51" s="17"/>
    </row>
    <row r="52" spans="1:4" ht="15" customHeight="1" x14ac:dyDescent="0.25">
      <c r="B52" s="16" t="s">
        <v>125</v>
      </c>
      <c r="C52" s="76">
        <v>1.89014060425</v>
      </c>
    </row>
    <row r="53" spans="1:4" ht="15.75" customHeight="1" x14ac:dyDescent="0.25">
      <c r="B53" s="16" t="s">
        <v>126</v>
      </c>
      <c r="C53" s="76">
        <v>1.89014060425</v>
      </c>
    </row>
    <row r="54" spans="1:4" ht="15.75" customHeight="1" x14ac:dyDescent="0.25">
      <c r="B54" s="16" t="s">
        <v>127</v>
      </c>
      <c r="C54" s="76">
        <v>1.13571075916</v>
      </c>
    </row>
    <row r="55" spans="1:4" ht="15.75" customHeight="1" x14ac:dyDescent="0.25">
      <c r="B55" s="16" t="s">
        <v>128</v>
      </c>
      <c r="C55" s="76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0.56528211483940793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43.717396986078114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44.834077734861665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190.0226088131827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5.4048141617554819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1.277916161010112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1.277916161010112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1.277916161010112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1.277916161010112</v>
      </c>
      <c r="E13" s="86" t="s">
        <v>202</v>
      </c>
    </row>
    <row r="14" spans="1:5" ht="15.75" customHeight="1" x14ac:dyDescent="0.25">
      <c r="A14" s="11" t="s">
        <v>187</v>
      </c>
      <c r="B14" s="85">
        <v>0.40899999999999997</v>
      </c>
      <c r="C14" s="85">
        <v>0.95</v>
      </c>
      <c r="D14" s="86">
        <v>14.359139603982028</v>
      </c>
      <c r="E14" s="86" t="s">
        <v>202</v>
      </c>
    </row>
    <row r="15" spans="1:5" ht="15.75" customHeight="1" x14ac:dyDescent="0.25">
      <c r="A15" s="11" t="s">
        <v>209</v>
      </c>
      <c r="B15" s="85">
        <v>0.40899999999999997</v>
      </c>
      <c r="C15" s="85">
        <v>0.95</v>
      </c>
      <c r="D15" s="86">
        <v>14.359139603982028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0.41542488627073465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0.82</v>
      </c>
      <c r="C18" s="85">
        <v>0.95</v>
      </c>
      <c r="D18" s="87">
        <v>4.4482358424844612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4.4482358424844612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4.4482358424844612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56.625848696237114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24.569538152769216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4.7648286502090178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20.68706504341953</v>
      </c>
      <c r="E24" s="86" t="s">
        <v>202</v>
      </c>
    </row>
    <row r="25" spans="1:5" ht="15.75" customHeight="1" x14ac:dyDescent="0.25">
      <c r="A25" s="52" t="s">
        <v>87</v>
      </c>
      <c r="B25" s="85">
        <v>0.71299999999999997</v>
      </c>
      <c r="C25" s="85">
        <v>0.95</v>
      </c>
      <c r="D25" s="86">
        <v>20.713852783119414</v>
      </c>
      <c r="E25" s="86" t="s">
        <v>202</v>
      </c>
    </row>
    <row r="26" spans="1:5" ht="15.75" customHeight="1" x14ac:dyDescent="0.25">
      <c r="A26" s="52" t="s">
        <v>137</v>
      </c>
      <c r="B26" s="85">
        <v>0.40899999999999997</v>
      </c>
      <c r="C26" s="85">
        <v>0.95</v>
      </c>
      <c r="D26" s="86">
        <v>5.0195778423936064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5.1341850989850606</v>
      </c>
      <c r="E27" s="86" t="s">
        <v>202</v>
      </c>
    </row>
    <row r="28" spans="1:5" ht="15.75" customHeight="1" x14ac:dyDescent="0.25">
      <c r="A28" s="52" t="s">
        <v>84</v>
      </c>
      <c r="B28" s="85">
        <v>0.33299999999999996</v>
      </c>
      <c r="C28" s="85">
        <v>0.95</v>
      </c>
      <c r="D28" s="86">
        <v>0.96383482417215582</v>
      </c>
      <c r="E28" s="86" t="s">
        <v>202</v>
      </c>
    </row>
    <row r="29" spans="1:5" ht="15.75" customHeight="1" x14ac:dyDescent="0.25">
      <c r="A29" s="52" t="s">
        <v>58</v>
      </c>
      <c r="B29" s="85">
        <v>0.82</v>
      </c>
      <c r="C29" s="85">
        <v>0.95</v>
      </c>
      <c r="D29" s="86">
        <v>80.983006519796163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0.43586457689828906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0.85083653245513768</v>
      </c>
      <c r="E31" s="86" t="s">
        <v>202</v>
      </c>
    </row>
    <row r="32" spans="1:5" ht="15.75" customHeight="1" x14ac:dyDescent="0.25">
      <c r="A32" s="52" t="s">
        <v>83</v>
      </c>
      <c r="B32" s="85">
        <v>0.89400000000000002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0.46500000000000002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0.76400000000000001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0.88400000000000001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0.53900000000000003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2.6133364444192004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0.87479459031642348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6.3846161599999993E-2</v>
      </c>
      <c r="C3" s="26">
        <f>frac_mam_1_5months * 2.6</f>
        <v>6.3846161599999993E-2</v>
      </c>
      <c r="D3" s="26">
        <f>frac_mam_6_11months * 2.6</f>
        <v>4.08731544E-2</v>
      </c>
      <c r="E3" s="26">
        <f>frac_mam_12_23months * 2.6</f>
        <v>2.9619076500000001E-2</v>
      </c>
      <c r="F3" s="26">
        <f>frac_mam_24_59months * 2.6</f>
        <v>3.5083236846666671E-2</v>
      </c>
    </row>
    <row r="4" spans="1:6" ht="15.75" customHeight="1" x14ac:dyDescent="0.25">
      <c r="A4" s="3" t="s">
        <v>66</v>
      </c>
      <c r="B4" s="26">
        <f>frac_sam_1month * 2.6</f>
        <v>2.9383608800000002E-2</v>
      </c>
      <c r="C4" s="26">
        <f>frac_sam_1_5months * 2.6</f>
        <v>2.9383608800000002E-2</v>
      </c>
      <c r="D4" s="26">
        <f>frac_sam_6_11months * 2.6</f>
        <v>2.8260658400000003E-2</v>
      </c>
      <c r="E4" s="26">
        <f>frac_sam_12_23months * 2.6</f>
        <v>1.13663797E-2</v>
      </c>
      <c r="F4" s="26">
        <f>frac_sam_24_59months * 2.6</f>
        <v>4.9767240466666663E-3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35864.62558</v>
      </c>
      <c r="C2" s="78">
        <v>93104</v>
      </c>
      <c r="D2" s="78">
        <v>297594</v>
      </c>
      <c r="E2" s="78">
        <v>308199</v>
      </c>
      <c r="F2" s="78">
        <v>232451</v>
      </c>
      <c r="G2" s="22">
        <f t="shared" ref="G2:G40" si="0">C2+D2+E2+F2</f>
        <v>931348</v>
      </c>
      <c r="H2" s="22">
        <f t="shared" ref="H2:H40" si="1">(B2 + stillbirth*B2/(1000-stillbirth))/(1-abortion)</f>
        <v>41551.96811129764</v>
      </c>
      <c r="I2" s="22">
        <f>G2-H2</f>
        <v>889796.03188870242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34976.379999999997</v>
      </c>
      <c r="C3" s="78">
        <v>89000</v>
      </c>
      <c r="D3" s="78">
        <v>279000</v>
      </c>
      <c r="E3" s="78">
        <v>319000</v>
      </c>
      <c r="F3" s="78">
        <v>238000</v>
      </c>
      <c r="G3" s="22">
        <f t="shared" si="0"/>
        <v>925000</v>
      </c>
      <c r="H3" s="22">
        <f t="shared" si="1"/>
        <v>40522.866275762433</v>
      </c>
      <c r="I3" s="22">
        <f t="shared" ref="I3:I15" si="3">G3-H3</f>
        <v>884477.13372423756</v>
      </c>
    </row>
    <row r="4" spans="1:9" ht="15.75" customHeight="1" x14ac:dyDescent="0.25">
      <c r="A4" s="7">
        <f t="shared" si="2"/>
        <v>2019</v>
      </c>
      <c r="B4" s="77">
        <v>34084.503333333327</v>
      </c>
      <c r="C4" s="78">
        <v>86000</v>
      </c>
      <c r="D4" s="78">
        <v>262000</v>
      </c>
      <c r="E4" s="78">
        <v>328000</v>
      </c>
      <c r="F4" s="78">
        <v>243000</v>
      </c>
      <c r="G4" s="22">
        <f t="shared" si="0"/>
        <v>919000</v>
      </c>
      <c r="H4" s="22">
        <f t="shared" si="1"/>
        <v>39489.557542903101</v>
      </c>
      <c r="I4" s="22">
        <f t="shared" si="3"/>
        <v>879510.44245709688</v>
      </c>
    </row>
    <row r="5" spans="1:9" ht="15.75" customHeight="1" x14ac:dyDescent="0.25">
      <c r="A5" s="7">
        <f t="shared" si="2"/>
        <v>2020</v>
      </c>
      <c r="B5" s="77">
        <v>33178.257999999994</v>
      </c>
      <c r="C5" s="78">
        <v>84000</v>
      </c>
      <c r="D5" s="78">
        <v>245000</v>
      </c>
      <c r="E5" s="78">
        <v>334000</v>
      </c>
      <c r="F5" s="78">
        <v>249000</v>
      </c>
      <c r="G5" s="22">
        <f t="shared" si="0"/>
        <v>912000</v>
      </c>
      <c r="H5" s="22">
        <f t="shared" si="1"/>
        <v>38439.60158817879</v>
      </c>
      <c r="I5" s="22">
        <f t="shared" si="3"/>
        <v>873560.39841182122</v>
      </c>
    </row>
    <row r="6" spans="1:9" ht="15.75" customHeight="1" x14ac:dyDescent="0.25">
      <c r="A6" s="7">
        <f t="shared" si="2"/>
        <v>2021</v>
      </c>
      <c r="B6" s="77">
        <v>32435.541599999997</v>
      </c>
      <c r="C6" s="78">
        <v>84000</v>
      </c>
      <c r="D6" s="78">
        <v>229000</v>
      </c>
      <c r="E6" s="78">
        <v>338000</v>
      </c>
      <c r="F6" s="78">
        <v>255000</v>
      </c>
      <c r="G6" s="22">
        <f t="shared" si="0"/>
        <v>906000</v>
      </c>
      <c r="H6" s="22">
        <f t="shared" si="1"/>
        <v>37579.106666805696</v>
      </c>
      <c r="I6" s="22">
        <f t="shared" si="3"/>
        <v>868420.89333319431</v>
      </c>
    </row>
    <row r="7" spans="1:9" ht="15.75" customHeight="1" x14ac:dyDescent="0.25">
      <c r="A7" s="7">
        <f t="shared" si="2"/>
        <v>2022</v>
      </c>
      <c r="B7" s="77">
        <v>31678.700399999998</v>
      </c>
      <c r="C7" s="78">
        <v>85000</v>
      </c>
      <c r="D7" s="78">
        <v>216000</v>
      </c>
      <c r="E7" s="78">
        <v>338000</v>
      </c>
      <c r="F7" s="78">
        <v>260000</v>
      </c>
      <c r="G7" s="22">
        <f t="shared" si="0"/>
        <v>899000</v>
      </c>
      <c r="H7" s="22">
        <f t="shared" si="1"/>
        <v>36702.247062135699</v>
      </c>
      <c r="I7" s="22">
        <f t="shared" si="3"/>
        <v>862297.75293786428</v>
      </c>
    </row>
    <row r="8" spans="1:9" ht="15.75" customHeight="1" x14ac:dyDescent="0.25">
      <c r="A8" s="7">
        <f t="shared" si="2"/>
        <v>2023</v>
      </c>
      <c r="B8" s="77">
        <v>30926.596399999999</v>
      </c>
      <c r="C8" s="78">
        <v>87000</v>
      </c>
      <c r="D8" s="78">
        <v>204000</v>
      </c>
      <c r="E8" s="78">
        <v>336000</v>
      </c>
      <c r="F8" s="78">
        <v>267000</v>
      </c>
      <c r="G8" s="22">
        <f t="shared" si="0"/>
        <v>894000</v>
      </c>
      <c r="H8" s="22">
        <f t="shared" si="1"/>
        <v>35830.875873423029</v>
      </c>
      <c r="I8" s="22">
        <f t="shared" si="3"/>
        <v>858169.12412657693</v>
      </c>
    </row>
    <row r="9" spans="1:9" ht="15.75" customHeight="1" x14ac:dyDescent="0.25">
      <c r="A9" s="7">
        <f t="shared" si="2"/>
        <v>2024</v>
      </c>
      <c r="B9" s="77">
        <v>30170.527399999999</v>
      </c>
      <c r="C9" s="78">
        <v>89000</v>
      </c>
      <c r="D9" s="78">
        <v>194000</v>
      </c>
      <c r="E9" s="78">
        <v>330000</v>
      </c>
      <c r="F9" s="78">
        <v>274000</v>
      </c>
      <c r="G9" s="22">
        <f t="shared" si="0"/>
        <v>887000</v>
      </c>
      <c r="H9" s="22">
        <f t="shared" si="1"/>
        <v>34954.910922726318</v>
      </c>
      <c r="I9" s="22">
        <f t="shared" si="3"/>
        <v>852045.08907727373</v>
      </c>
    </row>
    <row r="10" spans="1:9" ht="15.75" customHeight="1" x14ac:dyDescent="0.25">
      <c r="A10" s="7">
        <f t="shared" si="2"/>
        <v>2025</v>
      </c>
      <c r="B10" s="77">
        <v>29411.040000000001</v>
      </c>
      <c r="C10" s="78">
        <v>90000</v>
      </c>
      <c r="D10" s="78">
        <v>185000</v>
      </c>
      <c r="E10" s="78">
        <v>322000</v>
      </c>
      <c r="F10" s="78">
        <v>282000</v>
      </c>
      <c r="G10" s="22">
        <f t="shared" si="0"/>
        <v>879000</v>
      </c>
      <c r="H10" s="22">
        <f t="shared" si="1"/>
        <v>34074.985488809878</v>
      </c>
      <c r="I10" s="22">
        <f t="shared" si="3"/>
        <v>844925.01451119012</v>
      </c>
    </row>
    <row r="11" spans="1:9" ht="15.75" customHeight="1" x14ac:dyDescent="0.25">
      <c r="A11" s="7">
        <f t="shared" si="2"/>
        <v>2026</v>
      </c>
      <c r="B11" s="77">
        <v>28891.262400000003</v>
      </c>
      <c r="C11" s="78">
        <v>92000</v>
      </c>
      <c r="D11" s="78">
        <v>179000</v>
      </c>
      <c r="E11" s="78">
        <v>308000</v>
      </c>
      <c r="F11" s="78">
        <v>292000</v>
      </c>
      <c r="G11" s="22">
        <f t="shared" si="0"/>
        <v>871000</v>
      </c>
      <c r="H11" s="22">
        <f t="shared" si="1"/>
        <v>33472.782568498034</v>
      </c>
      <c r="I11" s="22">
        <f t="shared" si="3"/>
        <v>837527.21743150195</v>
      </c>
    </row>
    <row r="12" spans="1:9" ht="15.75" customHeight="1" x14ac:dyDescent="0.25">
      <c r="A12" s="7">
        <f t="shared" si="2"/>
        <v>2027</v>
      </c>
      <c r="B12" s="77">
        <v>28366.759200000004</v>
      </c>
      <c r="C12" s="78">
        <v>93000</v>
      </c>
      <c r="D12" s="78">
        <v>175000</v>
      </c>
      <c r="E12" s="78">
        <v>293000</v>
      </c>
      <c r="F12" s="78">
        <v>302000</v>
      </c>
      <c r="G12" s="22">
        <f t="shared" si="0"/>
        <v>863000</v>
      </c>
      <c r="H12" s="22">
        <f t="shared" si="1"/>
        <v>32865.104671734291</v>
      </c>
      <c r="I12" s="22">
        <f t="shared" si="3"/>
        <v>830134.89532826573</v>
      </c>
    </row>
    <row r="13" spans="1:9" ht="15.75" customHeight="1" x14ac:dyDescent="0.25">
      <c r="A13" s="7">
        <f t="shared" si="2"/>
        <v>2028</v>
      </c>
      <c r="B13" s="77">
        <v>27846.050400000007</v>
      </c>
      <c r="C13" s="78">
        <v>93000</v>
      </c>
      <c r="D13" s="78">
        <v>173000</v>
      </c>
      <c r="E13" s="78">
        <v>275000</v>
      </c>
      <c r="F13" s="78">
        <v>313000</v>
      </c>
      <c r="G13" s="22">
        <f t="shared" si="0"/>
        <v>854000</v>
      </c>
      <c r="H13" s="22">
        <f t="shared" si="1"/>
        <v>32261.822883538585</v>
      </c>
      <c r="I13" s="22">
        <f t="shared" si="3"/>
        <v>821738.17711646145</v>
      </c>
    </row>
    <row r="14" spans="1:9" ht="15.75" customHeight="1" x14ac:dyDescent="0.25">
      <c r="A14" s="7">
        <f t="shared" si="2"/>
        <v>2029</v>
      </c>
      <c r="B14" s="77">
        <v>27312.988800000006</v>
      </c>
      <c r="C14" s="78">
        <v>93000</v>
      </c>
      <c r="D14" s="78">
        <v>171000</v>
      </c>
      <c r="E14" s="78">
        <v>257000</v>
      </c>
      <c r="F14" s="78">
        <v>322000</v>
      </c>
      <c r="G14" s="22">
        <f t="shared" si="0"/>
        <v>843000</v>
      </c>
      <c r="H14" s="22">
        <f t="shared" si="1"/>
        <v>31644.229412357632</v>
      </c>
      <c r="I14" s="22">
        <f t="shared" si="3"/>
        <v>811355.77058764233</v>
      </c>
    </row>
    <row r="15" spans="1:9" ht="15.75" customHeight="1" x14ac:dyDescent="0.25">
      <c r="A15" s="7">
        <f t="shared" si="2"/>
        <v>2030</v>
      </c>
      <c r="B15" s="77">
        <v>26776.205999999998</v>
      </c>
      <c r="C15" s="78">
        <v>92000</v>
      </c>
      <c r="D15" s="78">
        <v>171000</v>
      </c>
      <c r="E15" s="78">
        <v>240000</v>
      </c>
      <c r="F15" s="78">
        <v>328000</v>
      </c>
      <c r="G15" s="22">
        <f t="shared" si="0"/>
        <v>831000</v>
      </c>
      <c r="H15" s="22">
        <f t="shared" si="1"/>
        <v>31022.324640522191</v>
      </c>
      <c r="I15" s="22">
        <f t="shared" si="3"/>
        <v>799977.67535947775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127.44358593810644</v>
      </c>
      <c r="I17" s="22">
        <f t="shared" si="4"/>
        <v>-127.44358593810644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9.3546902499999987E-3</v>
      </c>
    </row>
    <row r="4" spans="1:8" ht="15.75" customHeight="1" x14ac:dyDescent="0.25">
      <c r="B4" s="24" t="s">
        <v>7</v>
      </c>
      <c r="C4" s="79">
        <v>0.12881117724614524</v>
      </c>
    </row>
    <row r="5" spans="1:8" ht="15.75" customHeight="1" x14ac:dyDescent="0.25">
      <c r="B5" s="24" t="s">
        <v>8</v>
      </c>
      <c r="C5" s="79">
        <v>0.19120828180194127</v>
      </c>
    </row>
    <row r="6" spans="1:8" ht="15.75" customHeight="1" x14ac:dyDescent="0.25">
      <c r="B6" s="24" t="s">
        <v>10</v>
      </c>
      <c r="C6" s="79">
        <v>8.7658897539190039E-2</v>
      </c>
    </row>
    <row r="7" spans="1:8" ht="15.75" customHeight="1" x14ac:dyDescent="0.25">
      <c r="B7" s="24" t="s">
        <v>13</v>
      </c>
      <c r="C7" s="79">
        <v>8.5177642377611579E-2</v>
      </c>
    </row>
    <row r="8" spans="1:8" ht="15.75" customHeight="1" x14ac:dyDescent="0.25">
      <c r="B8" s="24" t="s">
        <v>14</v>
      </c>
      <c r="C8" s="79">
        <v>2.2531632094898009E-7</v>
      </c>
    </row>
    <row r="9" spans="1:8" ht="15.75" customHeight="1" x14ac:dyDescent="0.25">
      <c r="B9" s="24" t="s">
        <v>27</v>
      </c>
      <c r="C9" s="79">
        <v>0.33410248736784276</v>
      </c>
    </row>
    <row r="10" spans="1:8" ht="15.75" customHeight="1" x14ac:dyDescent="0.25">
      <c r="B10" s="24" t="s">
        <v>15</v>
      </c>
      <c r="C10" s="79">
        <v>0.16368659810094821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3.0015594501876599E-2</v>
      </c>
      <c r="D14" s="79">
        <v>3.0015594501876599E-2</v>
      </c>
      <c r="E14" s="79">
        <v>1.02378849733004E-2</v>
      </c>
      <c r="F14" s="79">
        <v>1.02378849733004E-2</v>
      </c>
    </row>
    <row r="15" spans="1:8" ht="15.75" customHeight="1" x14ac:dyDescent="0.25">
      <c r="B15" s="24" t="s">
        <v>16</v>
      </c>
      <c r="C15" s="79">
        <v>0.30306701078315301</v>
      </c>
      <c r="D15" s="79">
        <v>0.30306701078315301</v>
      </c>
      <c r="E15" s="79">
        <v>0.17231571164204901</v>
      </c>
      <c r="F15" s="79">
        <v>0.17231571164204901</v>
      </c>
    </row>
    <row r="16" spans="1:8" ht="15.75" customHeight="1" x14ac:dyDescent="0.25">
      <c r="B16" s="24" t="s">
        <v>17</v>
      </c>
      <c r="C16" s="79">
        <v>2.4323274784578301E-2</v>
      </c>
      <c r="D16" s="79">
        <v>2.4323274784578301E-2</v>
      </c>
      <c r="E16" s="79">
        <v>2.72850552801383E-2</v>
      </c>
      <c r="F16" s="79">
        <v>2.72850552801383E-2</v>
      </c>
    </row>
    <row r="17" spans="1:8" ht="15.75" customHeight="1" x14ac:dyDescent="0.25">
      <c r="B17" s="24" t="s">
        <v>18</v>
      </c>
      <c r="C17" s="79">
        <v>3.1757815626157801E-5</v>
      </c>
      <c r="D17" s="79">
        <v>3.1757815626157801E-5</v>
      </c>
      <c r="E17" s="79">
        <v>3.9377020535075199E-5</v>
      </c>
      <c r="F17" s="79">
        <v>3.9377020535075199E-5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2.7592811041142598E-4</v>
      </c>
      <c r="D19" s="79">
        <v>2.7592811041142598E-4</v>
      </c>
      <c r="E19" s="79">
        <v>1.1581140840134899E-4</v>
      </c>
      <c r="F19" s="79">
        <v>1.1581140840134899E-4</v>
      </c>
    </row>
    <row r="20" spans="1:8" ht="15.75" customHeight="1" x14ac:dyDescent="0.25">
      <c r="B20" s="24" t="s">
        <v>21</v>
      </c>
      <c r="C20" s="79">
        <v>4.3245123160495398E-3</v>
      </c>
      <c r="D20" s="79">
        <v>4.3245123160495398E-3</v>
      </c>
      <c r="E20" s="79">
        <v>1.34811918704593E-3</v>
      </c>
      <c r="F20" s="79">
        <v>1.34811918704593E-3</v>
      </c>
    </row>
    <row r="21" spans="1:8" ht="15.75" customHeight="1" x14ac:dyDescent="0.25">
      <c r="B21" s="24" t="s">
        <v>22</v>
      </c>
      <c r="C21" s="79">
        <v>0.15964070303675401</v>
      </c>
      <c r="D21" s="79">
        <v>0.15964070303675401</v>
      </c>
      <c r="E21" s="79">
        <v>0.37122714863918099</v>
      </c>
      <c r="F21" s="79">
        <v>0.37122714863918099</v>
      </c>
    </row>
    <row r="22" spans="1:8" ht="15.75" customHeight="1" x14ac:dyDescent="0.25">
      <c r="B22" s="24" t="s">
        <v>23</v>
      </c>
      <c r="C22" s="79">
        <v>0.47832121865155097</v>
      </c>
      <c r="D22" s="79">
        <v>0.47832121865155097</v>
      </c>
      <c r="E22" s="79">
        <v>0.4174308918493489</v>
      </c>
      <c r="F22" s="79">
        <v>0.4174308918493489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6.2899999999999998E-2</v>
      </c>
    </row>
    <row r="27" spans="1:8" ht="15.75" customHeight="1" x14ac:dyDescent="0.25">
      <c r="B27" s="24" t="s">
        <v>39</v>
      </c>
      <c r="C27" s="79">
        <v>3.1400000000000004E-2</v>
      </c>
    </row>
    <row r="28" spans="1:8" ht="15.75" customHeight="1" x14ac:dyDescent="0.25">
      <c r="B28" s="24" t="s">
        <v>40</v>
      </c>
      <c r="C28" s="79">
        <v>5.0900000000000001E-2</v>
      </c>
    </row>
    <row r="29" spans="1:8" ht="15.75" customHeight="1" x14ac:dyDescent="0.25">
      <c r="B29" s="24" t="s">
        <v>41</v>
      </c>
      <c r="C29" s="79">
        <v>0.11199999999999999</v>
      </c>
    </row>
    <row r="30" spans="1:8" ht="15.75" customHeight="1" x14ac:dyDescent="0.25">
      <c r="B30" s="24" t="s">
        <v>42</v>
      </c>
      <c r="C30" s="79">
        <v>5.6799999999999996E-2</v>
      </c>
    </row>
    <row r="31" spans="1:8" ht="15.75" customHeight="1" x14ac:dyDescent="0.25">
      <c r="B31" s="24" t="s">
        <v>43</v>
      </c>
      <c r="C31" s="79">
        <v>0.14369999999999999</v>
      </c>
    </row>
    <row r="32" spans="1:8" ht="15.75" customHeight="1" x14ac:dyDescent="0.25">
      <c r="B32" s="24" t="s">
        <v>44</v>
      </c>
      <c r="C32" s="79">
        <v>0.13750000000000001</v>
      </c>
    </row>
    <row r="33" spans="2:3" ht="15.75" customHeight="1" x14ac:dyDescent="0.25">
      <c r="B33" s="24" t="s">
        <v>45</v>
      </c>
      <c r="C33" s="79">
        <v>9.5199999999999993E-2</v>
      </c>
    </row>
    <row r="34" spans="2:3" ht="15.75" customHeight="1" x14ac:dyDescent="0.25">
      <c r="B34" s="24" t="s">
        <v>46</v>
      </c>
      <c r="C34" s="79">
        <v>0.30960000000223514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0.822056461421103</v>
      </c>
      <c r="D2" s="80">
        <v>0.822056461421103</v>
      </c>
      <c r="E2" s="80">
        <v>0.8155674588383659</v>
      </c>
      <c r="F2" s="80">
        <v>0.76532069881957066</v>
      </c>
      <c r="G2" s="80">
        <v>0.71900664859338626</v>
      </c>
    </row>
    <row r="3" spans="1:15" ht="15.75" customHeight="1" x14ac:dyDescent="0.25">
      <c r="A3" s="5"/>
      <c r="B3" s="11" t="s">
        <v>118</v>
      </c>
      <c r="C3" s="80">
        <v>0.10238065819896519</v>
      </c>
      <c r="D3" s="80">
        <v>0.10238065819896519</v>
      </c>
      <c r="E3" s="80">
        <v>0.10886966078170224</v>
      </c>
      <c r="F3" s="80">
        <v>0.15911642080049745</v>
      </c>
      <c r="G3" s="80">
        <v>0.20543047102668183</v>
      </c>
    </row>
    <row r="4" spans="1:15" ht="15.75" customHeight="1" x14ac:dyDescent="0.25">
      <c r="A4" s="5"/>
      <c r="B4" s="11" t="s">
        <v>116</v>
      </c>
      <c r="C4" s="81">
        <v>5.6203795323916228E-2</v>
      </c>
      <c r="D4" s="81">
        <v>5.6203795323916228E-2</v>
      </c>
      <c r="E4" s="81">
        <v>5.6203795323916228E-2</v>
      </c>
      <c r="F4" s="81">
        <v>5.6203795323916228E-2</v>
      </c>
      <c r="G4" s="81">
        <v>5.6203795323916228E-2</v>
      </c>
    </row>
    <row r="5" spans="1:15" ht="15.75" customHeight="1" x14ac:dyDescent="0.25">
      <c r="A5" s="5"/>
      <c r="B5" s="11" t="s">
        <v>119</v>
      </c>
      <c r="C5" s="81">
        <v>1.935908505601559E-2</v>
      </c>
      <c r="D5" s="81">
        <v>1.935908505601559E-2</v>
      </c>
      <c r="E5" s="81">
        <v>1.935908505601559E-2</v>
      </c>
      <c r="F5" s="81">
        <v>1.935908505601559E-2</v>
      </c>
      <c r="G5" s="81">
        <v>1.935908505601559E-2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0.8471251134979253</v>
      </c>
      <c r="D8" s="80">
        <v>0.8471251134979253</v>
      </c>
      <c r="E8" s="80">
        <v>0.86936624107708116</v>
      </c>
      <c r="F8" s="80">
        <v>0.93322411247865844</v>
      </c>
      <c r="G8" s="80">
        <v>0.89253694296558284</v>
      </c>
    </row>
    <row r="9" spans="1:15" ht="15.75" customHeight="1" x14ac:dyDescent="0.25">
      <c r="B9" s="7" t="s">
        <v>121</v>
      </c>
      <c r="C9" s="80">
        <v>0.11701728250207467</v>
      </c>
      <c r="D9" s="80">
        <v>0.11701728250207467</v>
      </c>
      <c r="E9" s="80">
        <v>0.1040438309229188</v>
      </c>
      <c r="F9" s="80">
        <v>5.1012250521341458E-2</v>
      </c>
      <c r="G9" s="80">
        <v>9.2055379767750689E-2</v>
      </c>
    </row>
    <row r="10" spans="1:15" ht="15.75" customHeight="1" x14ac:dyDescent="0.25">
      <c r="B10" s="7" t="s">
        <v>122</v>
      </c>
      <c r="C10" s="81">
        <v>2.4556215999999999E-2</v>
      </c>
      <c r="D10" s="81">
        <v>2.4556215999999999E-2</v>
      </c>
      <c r="E10" s="81">
        <v>1.5720444E-2</v>
      </c>
      <c r="F10" s="81">
        <v>1.13919525E-2</v>
      </c>
      <c r="G10" s="81">
        <v>1.3493552633333334E-2</v>
      </c>
    </row>
    <row r="11" spans="1:15" ht="15.75" customHeight="1" x14ac:dyDescent="0.25">
      <c r="B11" s="7" t="s">
        <v>123</v>
      </c>
      <c r="C11" s="81">
        <v>1.1301388000000001E-2</v>
      </c>
      <c r="D11" s="81">
        <v>1.1301388000000001E-2</v>
      </c>
      <c r="E11" s="81">
        <v>1.0869484E-2</v>
      </c>
      <c r="F11" s="81">
        <v>4.3716844999999995E-3</v>
      </c>
      <c r="G11" s="81">
        <v>1.9141246333333332E-3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0.49655583125000002</v>
      </c>
      <c r="D14" s="82">
        <v>0.47001446794099999</v>
      </c>
      <c r="E14" s="82">
        <v>0.47001446794099999</v>
      </c>
      <c r="F14" s="82">
        <v>0.21084454282599999</v>
      </c>
      <c r="G14" s="82">
        <v>0.21084454282599999</v>
      </c>
      <c r="H14" s="83">
        <v>0.27800000000000002</v>
      </c>
      <c r="I14" s="83">
        <v>0.34607885304659497</v>
      </c>
      <c r="J14" s="83">
        <v>0.39531182795698933</v>
      </c>
      <c r="K14" s="83">
        <v>0.41558422939068101</v>
      </c>
      <c r="L14" s="83">
        <v>0.36011756991699995</v>
      </c>
      <c r="M14" s="83">
        <v>0.31141480952549999</v>
      </c>
      <c r="N14" s="83">
        <v>0.30195740013</v>
      </c>
      <c r="O14" s="83">
        <v>0.32193382750099997</v>
      </c>
    </row>
    <row r="15" spans="1:15" ht="15.75" customHeight="1" x14ac:dyDescent="0.25">
      <c r="B15" s="16" t="s">
        <v>68</v>
      </c>
      <c r="C15" s="80">
        <f>iron_deficiency_anaemia*C14</f>
        <v>0.2806941304248402</v>
      </c>
      <c r="D15" s="80">
        <f t="shared" ref="D15:O15" si="0">iron_deficiency_anaemia*D14</f>
        <v>0.26569077244280759</v>
      </c>
      <c r="E15" s="80">
        <f t="shared" si="0"/>
        <v>0.26569077244280759</v>
      </c>
      <c r="F15" s="80">
        <f t="shared" si="0"/>
        <v>0.11918664907102938</v>
      </c>
      <c r="G15" s="80">
        <f t="shared" si="0"/>
        <v>0.11918664907102938</v>
      </c>
      <c r="H15" s="80">
        <f t="shared" si="0"/>
        <v>0.15714842792535541</v>
      </c>
      <c r="I15" s="80">
        <f t="shared" si="0"/>
        <v>0.19563218595137588</v>
      </c>
      <c r="J15" s="80">
        <f t="shared" si="0"/>
        <v>0.22346270612855912</v>
      </c>
      <c r="K15" s="80">
        <f t="shared" si="0"/>
        <v>0.23492233208386978</v>
      </c>
      <c r="L15" s="80">
        <f t="shared" si="0"/>
        <v>0.20356802151351008</v>
      </c>
      <c r="M15" s="80">
        <f t="shared" si="0"/>
        <v>0.17603722212088604</v>
      </c>
      <c r="N15" s="80">
        <f t="shared" si="0"/>
        <v>0.17069111773689571</v>
      </c>
      <c r="O15" s="80">
        <f t="shared" si="0"/>
        <v>0.18198343484811041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0.55799999999999994</v>
      </c>
      <c r="D2" s="81">
        <v>0.32700000000000001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0.22399999999999998</v>
      </c>
      <c r="D3" s="81">
        <v>0.311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0.106</v>
      </c>
      <c r="D4" s="81">
        <v>0.21</v>
      </c>
      <c r="E4" s="81">
        <v>0.68599999999999994</v>
      </c>
      <c r="F4" s="81">
        <v>0.26800000000000002</v>
      </c>
      <c r="G4" s="81">
        <v>0</v>
      </c>
    </row>
    <row r="5" spans="1:7" x14ac:dyDescent="0.25">
      <c r="B5" s="43" t="s">
        <v>169</v>
      </c>
      <c r="C5" s="80">
        <f>1-SUM(C2:C4)</f>
        <v>0.1120000000000001</v>
      </c>
      <c r="D5" s="80">
        <f>1-SUM(D2:D4)</f>
        <v>0.15200000000000002</v>
      </c>
      <c r="E5" s="80">
        <f>1-SUM(E2:E4)</f>
        <v>0.31400000000000006</v>
      </c>
      <c r="F5" s="80">
        <f>1-SUM(F2:F4)</f>
        <v>0.73199999999999998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8.1940000000000013E-2</v>
      </c>
      <c r="D2" s="144">
        <v>8.0180000000000001E-2</v>
      </c>
      <c r="E2" s="144">
        <v>7.8490000000000004E-2</v>
      </c>
      <c r="F2" s="144">
        <v>7.6850000000000002E-2</v>
      </c>
      <c r="G2" s="144">
        <v>7.5270000000000004E-2</v>
      </c>
      <c r="H2" s="144">
        <v>7.3749999999999996E-2</v>
      </c>
      <c r="I2" s="144">
        <v>7.2279999999999997E-2</v>
      </c>
      <c r="J2" s="144">
        <v>7.0860000000000006E-2</v>
      </c>
      <c r="K2" s="144">
        <v>6.9510000000000002E-2</v>
      </c>
      <c r="L2" s="144">
        <v>6.8209999999999993E-2</v>
      </c>
      <c r="M2" s="144">
        <v>6.6959999999999992E-2</v>
      </c>
      <c r="N2" s="144">
        <v>6.5759999999999999E-2</v>
      </c>
      <c r="O2" s="144">
        <v>6.4600000000000005E-2</v>
      </c>
      <c r="P2" s="144">
        <v>6.3479999999999995E-2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2.2080000000000002E-2</v>
      </c>
      <c r="D4" s="144">
        <v>2.128E-2</v>
      </c>
      <c r="E4" s="144">
        <v>2.052E-2</v>
      </c>
      <c r="F4" s="144">
        <v>1.9799999999999998E-2</v>
      </c>
      <c r="G4" s="144">
        <v>1.9119999999999998E-2</v>
      </c>
      <c r="H4" s="144">
        <v>1.8489999999999999E-2</v>
      </c>
      <c r="I4" s="144">
        <v>1.789E-2</v>
      </c>
      <c r="J4" s="144">
        <v>1.7310000000000002E-2</v>
      </c>
      <c r="K4" s="144">
        <v>1.6750000000000001E-2</v>
      </c>
      <c r="L4" s="144">
        <v>1.6209999999999999E-2</v>
      </c>
      <c r="M4" s="144">
        <v>1.5700000000000002E-2</v>
      </c>
      <c r="N4" s="144">
        <v>1.521E-2</v>
      </c>
      <c r="O4" s="144">
        <v>1.473E-2</v>
      </c>
      <c r="P4" s="144">
        <v>1.4279999999999999E-2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0.14873752971175225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0.2093118394647093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0.18014165298932777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0.36549999999999999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0.40733333333333333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14.401</v>
      </c>
      <c r="D13" s="143">
        <v>13.968999999999999</v>
      </c>
      <c r="E13" s="143">
        <v>13.599</v>
      </c>
      <c r="F13" s="143">
        <v>13.263999999999999</v>
      </c>
      <c r="G13" s="143">
        <v>12.965999999999999</v>
      </c>
      <c r="H13" s="143">
        <v>12.686</v>
      </c>
      <c r="I13" s="143">
        <v>12.442</v>
      </c>
      <c r="J13" s="143">
        <v>12.208</v>
      </c>
      <c r="K13" s="143">
        <v>11.993</v>
      </c>
      <c r="L13" s="143">
        <v>11.795999999999999</v>
      </c>
      <c r="M13" s="143">
        <v>11.606</v>
      </c>
      <c r="N13" s="143">
        <v>11.406000000000001</v>
      </c>
      <c r="O13" s="143">
        <v>11.234</v>
      </c>
      <c r="P13" s="143">
        <v>11.05</v>
      </c>
    </row>
    <row r="14" spans="1:16" x14ac:dyDescent="0.25">
      <c r="B14" s="16" t="s">
        <v>170</v>
      </c>
      <c r="C14" s="143">
        <f>maternal_mortality</f>
        <v>0.23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9.6000000000000002E-2</v>
      </c>
      <c r="E2" s="92">
        <f>food_insecure</f>
        <v>9.6000000000000002E-2</v>
      </c>
      <c r="F2" s="92">
        <f>food_insecure</f>
        <v>9.6000000000000002E-2</v>
      </c>
      <c r="G2" s="92">
        <f>food_insecure</f>
        <v>9.6000000000000002E-2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9.6000000000000002E-2</v>
      </c>
      <c r="F5" s="92">
        <f>food_insecure</f>
        <v>9.6000000000000002E-2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8.9996445671826936E-2</v>
      </c>
      <c r="D7" s="92">
        <f>diarrhoea_1_5mo/26</f>
        <v>7.2697715548076927E-2</v>
      </c>
      <c r="E7" s="92">
        <f>diarrhoea_6_11mo/26</f>
        <v>7.2697715548076927E-2</v>
      </c>
      <c r="F7" s="92">
        <f>diarrhoea_12_23mo/26</f>
        <v>4.3681183044615386E-2</v>
      </c>
      <c r="G7" s="92">
        <f>diarrhoea_24_59mo/26</f>
        <v>4.3681183044615386E-2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9.6000000000000002E-2</v>
      </c>
      <c r="F8" s="92">
        <f>food_insecure</f>
        <v>9.6000000000000002E-2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0.79200000000000004</v>
      </c>
      <c r="E9" s="92">
        <f>IF(ISBLANK(comm_deliv), frac_children_health_facility,1)</f>
        <v>0.79200000000000004</v>
      </c>
      <c r="F9" s="92">
        <f>IF(ISBLANK(comm_deliv), frac_children_health_facility,1)</f>
        <v>0.79200000000000004</v>
      </c>
      <c r="G9" s="92">
        <f>IF(ISBLANK(comm_deliv), frac_children_health_facility,1)</f>
        <v>0.79200000000000004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8.9996445671826936E-2</v>
      </c>
      <c r="D11" s="92">
        <f>diarrhoea_1_5mo/26</f>
        <v>7.2697715548076927E-2</v>
      </c>
      <c r="E11" s="92">
        <f>diarrhoea_6_11mo/26</f>
        <v>7.2697715548076927E-2</v>
      </c>
      <c r="F11" s="92">
        <f>diarrhoea_12_23mo/26</f>
        <v>4.3681183044615386E-2</v>
      </c>
      <c r="G11" s="92">
        <f>diarrhoea_24_59mo/26</f>
        <v>4.3681183044615386E-2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9.6000000000000002E-2</v>
      </c>
      <c r="I14" s="92">
        <f>food_insecure</f>
        <v>9.6000000000000002E-2</v>
      </c>
      <c r="J14" s="92">
        <f>food_insecure</f>
        <v>9.6000000000000002E-2</v>
      </c>
      <c r="K14" s="92">
        <f>food_insecure</f>
        <v>9.6000000000000002E-2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0.95400000000000007</v>
      </c>
      <c r="I17" s="92">
        <f>frac_PW_health_facility</f>
        <v>0.95400000000000007</v>
      </c>
      <c r="J17" s="92">
        <f>frac_PW_health_facility</f>
        <v>0.95400000000000007</v>
      </c>
      <c r="K17" s="92">
        <f>frac_PW_health_facility</f>
        <v>0.95400000000000007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0.39600000000000002</v>
      </c>
      <c r="M23" s="92">
        <f>famplan_unmet_need</f>
        <v>0.39600000000000002</v>
      </c>
      <c r="N23" s="92">
        <f>famplan_unmet_need</f>
        <v>0.39600000000000002</v>
      </c>
      <c r="O23" s="92">
        <f>famplan_unmet_need</f>
        <v>0.39600000000000002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0.11333587860717764</v>
      </c>
      <c r="M24" s="92">
        <f>(1-food_insecure)*(0.49)+food_insecure*(0.7)</f>
        <v>0.51016000000000006</v>
      </c>
      <c r="N24" s="92">
        <f>(1-food_insecure)*(0.49)+food_insecure*(0.7)</f>
        <v>0.51016000000000006</v>
      </c>
      <c r="O24" s="92">
        <f>(1-food_insecure)*(0.49)+food_insecure*(0.7)</f>
        <v>0.51016000000000006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4.8572519403076136E-2</v>
      </c>
      <c r="M25" s="92">
        <f>(1-food_insecure)*(0.21)+food_insecure*(0.3)</f>
        <v>0.21864</v>
      </c>
      <c r="N25" s="92">
        <f>(1-food_insecure)*(0.21)+food_insecure*(0.3)</f>
        <v>0.21864</v>
      </c>
      <c r="O25" s="92">
        <f>(1-food_insecure)*(0.21)+food_insecure*(0.3)</f>
        <v>0.21864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6.0249118469238229E-2</v>
      </c>
      <c r="M26" s="92">
        <f>(1-food_insecure)*(0.3)</f>
        <v>0.2712</v>
      </c>
      <c r="N26" s="92">
        <f>(1-food_insecure)*(0.3)</f>
        <v>0.2712</v>
      </c>
      <c r="O26" s="92">
        <f>(1-food_insecure)*(0.3)</f>
        <v>0.2712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0.777842483520508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2020-03-24T06:49:55Z</dcterms:modified>
</cp:coreProperties>
</file>