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56186F03-32FD-4DC0-B184-FBBAE20776A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H12" i="2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31" i="2"/>
  <c r="I29" i="2"/>
  <c r="I36" i="2"/>
  <c r="A3" i="2"/>
  <c r="A24" i="2"/>
  <c r="A18" i="2"/>
  <c r="A40" i="2"/>
  <c r="A22" i="2"/>
  <c r="A25" i="2"/>
  <c r="A29" i="2"/>
  <c r="A27" i="2"/>
  <c r="A31" i="2"/>
  <c r="A20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I15" i="2"/>
  <c r="I14" i="2"/>
  <c r="I12" i="2"/>
  <c r="I11" i="2"/>
  <c r="I10" i="2"/>
  <c r="I9" i="2"/>
  <c r="I8" i="2"/>
  <c r="I7" i="2"/>
  <c r="I6" i="2"/>
  <c r="I5" i="2"/>
  <c r="I4" i="2"/>
  <c r="I3" i="2"/>
  <c r="I2" i="2"/>
  <c r="C6" i="51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65F3D331-3358-4908-AC82-14064CED16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0C69AB8-2DDD-4276-ABFB-ED186CE7F8B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7E480484-E600-416C-B2AA-7FC632EDEC47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825AA736-A6F4-4A5A-8BFB-ECECFEEED65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31BD01A-7E2D-49CB-BA47-C249B283176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37C3030F-D5B6-4F22-BC5D-287BF0543C33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3C99E289-2CA5-41B2-B65B-9E8015757884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C3DA7F55-5DE2-4C16-B1BD-05B085AD4A0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F40FF82-4671-4482-A2F3-4D59DEF37A7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27B37FC-016D-47D0-81E4-FF377182D9F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0E3DB77-A65C-43DA-99BC-2D9F7FC50BE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4F245732-488A-431F-B0F2-034E31E91DF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5CCE518-FDD0-4CAC-88FF-96F71984C6A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6E8DD75C-F743-483D-B669-B98CB02D338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7573359-E7EA-4F80-9650-784D873DA7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8886823-22C0-4CC5-87BD-5C6553953A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41191C88-0094-46DE-AE1B-65A62581BC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CBB1573-FDE5-41B6-9B38-E51B91DAF6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1D40325-57EE-4559-AAEF-E0A97AF6FAA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E016B180-47C5-4EE1-8E71-83E3B8129B4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9B74B229-EE90-4CF4-97C5-A132E2B5F43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99F89BC5-510D-4183-97D1-8F785680477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03530E90-D64C-41F5-AA49-5F3E1207A309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5BBFA2F7-A54B-4518-B1A8-97FAD93B7C5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5EB20B35-7B4F-424D-9146-8A2ACC3FFA48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A352EF64-944F-45FD-AAF3-B9ECBD2DDD7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56233DA3-6EFB-40D2-B10B-FFEA4E6016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92C70FE-99D3-42F5-99DF-7F497ACCDB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EBB775CD-B44C-4C33-9B63-BA00A8338B9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2531C131-2433-4546-8A71-D40726F517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8E63DB4A-4CA0-45C5-BB3E-33930C5409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CEC7627-F647-4793-B1B1-D721E6FF66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1520456D-BF09-4863-AD8D-787EEB4BF6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30D160AE-B36D-4FB4-B719-0D2C415EEC04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 [Filler data]</t>
        </r>
      </text>
    </comment>
    <comment ref="C59" authorId="0" shapeId="0" xr:uid="{2036FC21-5EBC-442C-86AE-5D0191636472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5CA536E-5F52-43A1-B130-BF025589DE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26AEB45C-1D95-4AC0-84DA-BDBA374280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3F3FC339-591B-4DC5-A2FD-F65AC77C44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D84E98E0-E64A-44A8-8DDD-2DBE0A45FC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86B7EAB2-4CD0-4D63-8BF4-DC2CAA1C17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99D47626-C8BE-463B-BBDD-8B60913981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EE5641E1-CC26-45B2-BB91-03FBB36226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F78FC9E9-012B-411F-805C-FA0CF338A7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E0BEF0CE-3D4A-4C13-9500-E6A3A1F385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DA3064B9-3122-4C9F-ABF4-18641E4DD8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0863864-5FCC-4124-825B-78347F1DF0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196D527-E85E-4983-8533-6D91689BD5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57021A44-2282-47BE-8110-528DA38184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2031997B-3534-45A5-9913-F3B4F3DEC5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BC2F96DC-EA6E-4D2F-8536-B61BB02614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25436560-3831-4586-B351-AA497A95309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EBF96B6-1327-434B-9775-D90CCA5D8C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61C2E882-5F4E-463B-838E-C6BD765DCF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DBC5479-4D4A-418E-B9A9-F3098BDBD2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0EE3DAD0-BD0F-4DF8-B928-36FAF2A320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6D269B32-B94B-4C59-80A6-CC4AD6373F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B13A6BBB-5FEF-421B-8613-20E620C9D6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BFF94B65-C1A9-4BE3-8F7A-76CC3195B3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EA8718F-D550-4E82-9762-313A0710D7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AE51764F-99DA-4687-B2A3-DA785427CF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4F72139-2FCB-4BEE-A0E6-207354E4E4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2DF48CE0-4FB0-450B-9306-A1339C0A48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94DD1BC0-BFFD-424E-B9AF-168CFE712E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A8A8F489-C445-415C-B20C-C04FD1B301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A2932853-935B-4C95-8F99-00E6909089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AB8984B-B78B-4D2B-AC47-51CA1FF30F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B8EBEE6-4DAD-40DF-88E3-BA2613F6BB0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91EF7136-7E24-4657-890F-6FB2EE1AAE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8FD4CE2A-7A3E-4C81-AABF-64F6468722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DCFEA9BB-EAB3-4DDF-BFAF-C6DC43EE6A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1087994-D839-4D7B-ADC6-FBF7B38FC9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A915E7DC-F9FC-434A-B044-87F965BCD7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F36C3793-B14C-4161-9C3D-37E6003113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5D919D8-2ED1-4722-BD96-60A9766A7A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4BAE29B6-6C7E-4CA7-9C81-BBB889153D5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65DB1DE-E524-463C-8808-29F9E0D0C48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95C35029-B01D-4ADC-BF5F-49CB1E0CA7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4808B504-2CE7-4A58-A393-01DF1F0588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013AA78B-8334-4DCD-AD71-12956DA38B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E69D7FD9-D5C2-4A3F-8B44-961DD5F582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EF06A7B1-3F03-489E-B739-778460EE88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B84001F9-6130-4D08-9C35-32D81FAFB5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0F665C27-5467-4C63-95BA-AF3C04ECA6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59E65F79-E4AE-42AB-A1B7-2F0609CDF7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9284AEDE-27BA-4D6E-B5AA-F491AB35B1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BAFA3210-967D-4315-B1AD-D10365CD3B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9F63D0AE-B7FC-41AC-9973-8D2AB6549D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BE196A8D-CB51-453F-BB0A-7F16A566E1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89A06F8-6078-421F-9ECD-9272E54273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1954FB50-CF76-4DEE-B735-69164BCB53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950C7DAA-D9BD-4242-9FC8-6167BDF85F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0434808-5AD2-4643-A9B4-517D903A05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8FE2792A-2653-4D26-BC8A-74DFFD33AD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52223F45-73BB-4520-BF46-9990863DCD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AE1AB2F6-986A-4A28-A158-D064DC5A5F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9270481D-06FE-4483-BB7F-439FDF02FE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4C968A32-D1F3-4523-9038-47911CA7DF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ED504FBE-3544-4B43-96DD-7540F2A982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5EDEB49-5ED2-42C2-AC9D-3ADCED6477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3BED9B7-E515-47FE-9045-3F611FC3ED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9E0BBC4-21D2-40E1-99F7-A98FAAB442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25E14C22-91EE-4D33-9B25-0424837867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03E078C-380E-47EF-B52C-DA8C9AE814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364A5D7-3805-45F0-BD5D-39F7651639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C626BA23-FC47-4129-B5B7-C58C7FF995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07794C86-057A-41F5-B60E-1FAF0FBED7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075FCEC-4373-477A-B22C-20771B3E38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65319CB2-1919-4468-9D9C-D7B089D128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E3735A5-4495-4A89-A65A-02365AA040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04439ABB-1676-4B43-B316-ABF883CD8E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C6D62137-B17D-4ECD-815F-C6488A66ECF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4DC396DB-0E7A-4AA5-AC21-F87C0CF8AF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C87EC11B-C780-4696-9183-CAD2BB4FA6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7308ACE6-D9A0-41C9-8634-5A916252C79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0A26BF23-1BFF-49C7-9D2B-E959AB332A7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CDF7BE7-23BC-460A-989E-98FD75AF6BC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57D59426-7B01-4BA5-88A4-CD287F35745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D8301E8-0DA1-4A9D-BBBA-FE70661254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003AC3CA-4CBF-45F9-B11F-970C35BDCA0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A7A4B80D-832B-4AC0-94E4-0F9B6D444F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E828DBEF-A9A0-4E84-92BC-D5AA50BEE0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133BA97-BA99-4A5A-9866-B3034E1332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D4529253-080C-45EC-9D25-AA45203E2AD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6FEC517A-26C5-49CF-92DB-79D56BAE8A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5A7303A6-0031-459A-BEE8-986DA8ECE3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199A3873-230B-4356-AC59-0211D10FEE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AA650D2F-783E-4E00-9C45-77F592BF1E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55C3990-D09F-4894-8FAC-A058A050464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10F9369B-9E44-4E0D-AB53-BD33E2893B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86C2785B-106E-4B32-905F-B3302201AF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B40848EB-E63E-45AB-B512-15E2ED48437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ED218C3-1B1C-4835-8340-0F5B13A730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2E796E42-1865-48A9-8538-3D4487E7AF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EAA6878-C4AF-4E60-91CA-E0BD130F2E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8F7A4D68-E412-4FB7-B38E-83F30A90B79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E677FEB7-3670-4684-BB53-645C3C18F86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AD55B63-D68D-4774-A2B7-0FDF3CB2C0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7FEFC5C4-2EEB-48EA-8914-478C5C3C2EC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971F3CF5-7819-4E3D-864B-70E1420474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05F84A85-5440-4D90-86E1-DEBE773979D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BC52FF20-CFE2-4385-A20C-516FA6A7F0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D9848EFC-A319-4E5C-9254-6A8916285E4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1E30964-ED8D-487D-9BC4-C867BE53D8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FAA4139B-D929-4B4D-A58E-85983A1E34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EC6C8DA3-8701-4C62-8F40-AE0A609C1E8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ED2642B2-0DBD-44FD-891B-918827BC16D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204C1D44-1FFD-4887-BED7-709FAAAD766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C745EC30-A4C8-4645-AB4F-4B7D7A11E06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22A19900-D33E-4B19-841F-9F71AE05B1F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CDC21BA8-8440-435A-8A7E-B247C2F505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93699DD7-9B1A-49BE-A9A5-8239BAB389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ED63F5C-DE1B-42BB-9748-C1B3FF1648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BE0D10E-7224-433F-8059-B35C40FA83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82E418B-7448-48AB-BCF0-7A4C9D06F5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AD98545-31D3-4747-A1A5-587FF509A2E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770A603-9845-451E-868C-243D0B450BC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CB26CC4-83D5-4238-B91C-62331AFC41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B4A762FE-7063-4A73-B98A-85B95BD0A566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4AAC8A3-4E76-478E-AF88-D8FD4597D55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6124BC0A-3104-4BA1-860D-4C6045E15D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F81F6099-2503-4181-AB27-DF1C81FA91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B97E60A-A127-4A8A-85AE-B38CB8462F8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1FF220D-B2BC-4E4A-A816-9ACCDBC59A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D50FF3B4-2E9C-472E-BEF4-AA5B0550C0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9BECA2FC-C33D-42FE-BB5D-AED87547017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94A5550D-CCAF-46BD-86AE-C879275C19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21F62111-5AD9-4F61-BB86-8E09290C74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1EAC75AD-132E-4DE4-8852-2D1F34AF7A2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FD019794-F271-4664-B9A4-F841236025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C1E3C32-C4E1-4B9F-8D8E-B2E0A852332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D18102F3-B0DD-44BC-AD79-63F0ADBFEA2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9F05EDB-761F-4261-B759-05E381F207F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B4F1AC6D-3A15-42A8-A1B3-EC55AA7132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A65CD461-8746-43D8-B695-5B98804428C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6542162-EB76-4F34-82DB-362EDB7B40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82BD258C-A883-4312-B5E1-FC0E4F698F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B0D0AC94-CC54-425C-AB9B-E6857A1757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0DBA395E-51FD-4EA3-B19F-A34BF9278F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4F2469BB-335E-4E44-AD44-7D74F1B33B1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51135741-E4A5-4DDB-B7EE-42241165EE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639E9618-CF88-4FF0-B6E3-D353448E02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B48721E7-4D11-4000-A480-A040EF33F9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4032F607-674B-4C92-8029-8B3F4C4CC0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67C67885-D6DD-4CC3-A41D-F2DE7C2D44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7563F1B0-2801-427E-AA87-528E833DD2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DB9A826E-382E-4405-A347-D4BC8C3A89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748E1C03-47A2-4582-B7BB-E8CE45FC525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8A96CC9A-2E8B-45CD-A631-CFFEE0164F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49D65BF-E477-46E4-9B18-97DB4CDFD51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46691431-4505-4CC7-A4E8-1A772BC18A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33A92B42-189E-4A70-A7EC-0A8928ADDA6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6AAE349A-F815-4393-99C9-E0ECA577B6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104333A2-B841-4810-B3B7-DB0989AE50F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90EC9062-6714-4B04-9946-0ADBB66743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E8BC584B-5BE6-4A8C-A57B-C9B6792BE5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5703BF02-9983-4052-B778-5B5222B095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69E130AF-3F8B-41E8-8156-0AC6AD215E4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9CDF61A7-E306-4119-A32C-70173D8A7F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F2C2F4C-E895-41DA-AF9D-FD31261503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3517BD1B-B65F-4F14-A364-2656F31058F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AC50ACE-277C-4E2B-9C93-525C5DFFE4B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54ACD267-00C1-4007-BC07-6D617721F56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5EB14463-2803-40C1-81ED-E5271786EC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50010F8-251C-4413-80A7-642B74E6505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197A7DBA-E1B0-44F9-BAC1-157077EE8E4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3AAEE3CB-E191-401B-ADF9-0702009711C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6D25B488-7BFF-4098-B718-0CEDE2DFBF0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8D7A1297-399D-48AC-B51E-13D8A2A005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9085950D-EC01-4A31-9385-99E34A72F8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4655560E-7717-4BCB-BB3E-7148CC8D36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4067590-87D5-449F-8330-48F55CAB18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429CD195-F218-44D1-8221-70500105C2B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0983D3E2-424F-47DB-BA8B-0D30C42B2CA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947657BE-3E15-420D-BC45-ECA13F4F3B4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9517D5A-3AE3-40E7-B538-CA52D2252CA4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184571D0-F33D-49CC-A085-9E68648341A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62B1C070-01CF-4879-B076-40601A77DF2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AACC759C-0E32-4336-AE58-3C6683D1ADF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EF7C865F-6473-4B47-B7BC-09D98131F96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98170B4-7FA2-42A5-8148-ED2E5F5694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1A2721A9-4FEE-4136-872A-558392789E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0927B9DD-5E5A-4DED-888A-CFD899A555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1C94C8A-9F01-4FC2-A89C-BB0F85542E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F0C1F3F7-E418-42DE-BC00-BEE6AA880A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BE715020-CCDC-4F54-B6EA-84CA49D287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18A5D656-77CB-40B9-A57D-00A2E887FB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DD97DFCA-B7A0-4EE8-9496-6BEA3E51AA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33C51AFA-6761-4AF3-AEBA-6E69678769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3B7510A-E9A9-448E-9982-950498798E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685796FF-030F-4E99-A044-6C99567733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C81BFD93-E039-4C9D-8A6B-5EC09F2CB3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3C1A5450-CA8D-4B7E-950F-4E04B51BB2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8B5EDC4D-C414-4A6C-853E-7138D5A062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08F4EDF-D6DA-4CEE-9992-DBD6A7AF6A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AA63AAED-CCB6-49E5-A3C0-798A0005E1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2BADD7C5-9C87-4010-B611-FADB7B4C14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569C3EB0-ABE7-4F22-8505-8D6D93A500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7DB8337-0A93-4DBC-99E1-7CEE41B6F0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75B78CD1-8625-431D-8D22-175A92B0F0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545B562-5C7E-4E5C-9764-FAECB08CFC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ED26F15D-5F62-4E03-ACA3-F960CAA40E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308C379D-3BE6-4949-A13F-9558E954E9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05242AC-0A46-4574-B7D6-D9132CCE0C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7A5D0D7A-CFAB-42AC-BF24-27EB127F4CD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91621DB-C7C3-4925-B06B-12E9F56349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A03242A-0D24-4449-8DCA-67CE77E5E6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82CDF583-F887-4E53-A759-E22B26E0C0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66B12D60-8947-48FE-BC0A-AFB434F451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571E74B-851D-42C7-AA27-939D45585E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935BCF7D-77C4-467F-AA8D-2BB056FDF3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EBE88EF-9CF2-4C20-A21A-71C26973CA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F9D10089-6115-47CF-B4AC-B90338390A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3DD9A170-562A-48DF-A510-DD51D94DE7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E3664F61-E3E5-489A-AD2F-114639A31C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1D766106-3DE9-44F4-AF89-F59D98B394B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F3F874DE-ECE5-4E47-A347-9DA826B5469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F53D8BDF-3CAA-4AEA-A145-AFCAD4FE236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5E8EB200-4CB4-406C-B7D8-FCCDA36E26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3B25F800-24CB-4E98-9C9B-B4A77B1DA8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E57CCC8-443F-4EB9-A01A-84E00C6D25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B57F4598-1DDB-46B4-B905-ABAA72681B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27C671C-8A5E-4672-9430-D973469813E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3A5799F2-300D-4042-9F98-D334B6D0714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957F85DC-7BC2-47D0-988F-6F1E6F23173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89F1BFD1-B35F-41ED-9F0F-F1AA3DE9FF2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A793D933-A79F-4DB5-B8B6-B0B0B294BA22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E4C529B0-4E1E-4658-BEDA-D105DE5916E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A9DFF905-B9C9-4CF9-A133-D07A5FDA5FA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1B46F6E8-3A7F-4221-AE03-83E9C4C708A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C677CD65-AFAB-48F1-BC3E-2CFE0168F9C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9F9ED373-E2D0-4182-A9EF-3260CA01BE7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E40E7AB-C730-4717-A33D-70C14AA17AE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AA58978-1664-43B9-8DB9-A9908EE7796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8AA0A7EF-60F3-4E46-82C5-6A3A779296C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37DBE369-35BE-4D50-AFC8-BFE1557A213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A7E9F04-4C2F-46FA-869D-54168D1CC26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27ED91E4-EB23-4595-A55D-F0D1039D386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E4313F93-AB55-4665-B2C9-E834C832F92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9A3A84A-9E19-4B25-A2BA-D9D47B4C770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27EA182E-0776-4910-B557-3A8916285AA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6576AB7B-4E50-43DC-A577-C6E63846F7D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E85BFFAC-9A54-4C05-BD21-AD4DF59E669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E115C37A-C0B8-4CEB-AF03-FD8ED865EA3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1D6B5BD7-9DA6-4AA6-80F9-0FF567AB127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EE2D9040-6B54-4956-9BDF-73470A5712D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BCCA95B2-0AB1-4ED4-98E8-5A841B020BB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A3715FDD-49E9-4F74-BFBB-426B986C89B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57F86F97-9B26-46A3-B966-CF9E10432B4E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2347AB08-6BD1-47C2-837B-781249E6379D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6ACD884-2A01-45B9-908D-FA266F4E1F5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827EFEB1-FD88-49EE-9EA0-4B2C2A529E8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2A93C7B-88A6-4C6B-9A21-2486138BB6F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2E1D84F4-1ACA-4660-9A4F-09D3F9EDDF7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B89CDFF3-D7D9-4832-9B07-0D32DE7D894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8CCD611-95C9-4388-AC11-5047BFF3A44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35376EAA-55E4-4FAD-BAFB-97DF7CC7C9C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9B963B1D-E7E3-4A8D-8BB0-1986EAD2B00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85DC181A-2CFA-469B-A204-2EE09ED7F117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1829EC41-C88E-4C03-93E6-2C348C97E10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ED1042F-507C-489E-8CD6-E526E46B037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D40FF80-FCB3-436E-97CF-0428689DF45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C7BEAC3-E993-4AB7-97E0-FE2ADE817FF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18738C7F-AA53-4C24-8090-9A7FF047A68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93E1B12-256F-49A6-910A-B3A6E8178854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D615DE78-9F71-4992-9DEF-19269CBB8FB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D7545644-DB3A-4203-A3B1-47ACDB448F1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F55F245-AF9E-459F-A249-3A377FDE3A3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DB9CF958-5759-40D9-90C6-1231F1A5ADD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1294BB7B-AF15-4ECB-8F35-9270CD2EDA4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BF109EB4-6853-4A0F-A4FA-3FE19C4AA0B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15E26611-B910-4733-923F-BDFD9C998A1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F06213C-0D20-461A-B230-A06BBE20492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43E439B9-79A4-44CA-A406-2BFC7FD46A5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E87B3347-DC2E-4268-AE9B-002306991E7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E2C45285-74A4-4797-B9F3-7D6D9DD3C71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B6AE2C8-C071-4AF0-91F4-E606BE01E4B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741000FA-BC3C-4988-A441-C8D35E4E9A7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4DB4F3E-E172-4FF5-8F3F-C2EE61C018B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69A6F164-9416-4C79-BF7D-6A9E5F4547B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787297C8-9FE9-4458-9EF1-6D98B97E217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1CE84C48-65BC-4F9A-ACEE-B2B9B3599E2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AD82C06C-E542-46E6-8EB7-E4E28874A72D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0215A2F2-8BD7-42CC-8C7A-E6513FEE8A8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<sst xmlns="http://schemas.openxmlformats.org/spreadsheetml/2006/main" count="1102" uniqueCount="271">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</sst>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35404</v>
      </c>
    </row>
    <row r="8" spans="1:3" ht="15" customHeight="1" x14ac:dyDescent="0.25">
      <c r="B8" s="7" t="s">
        <v>106</v>
      </c>
      <c r="C8" s="70">
        <v>0.23600000000000002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0.89240097045898392</v>
      </c>
    </row>
    <row r="11" spans="1:3" ht="15" customHeight="1" x14ac:dyDescent="0.25">
      <c r="B11" s="7" t="s">
        <v>108</v>
      </c>
      <c r="C11" s="70">
        <v>0.86599999999999999</v>
      </c>
    </row>
    <row r="12" spans="1:3" ht="15" customHeight="1" x14ac:dyDescent="0.25">
      <c r="B12" s="7" t="s">
        <v>109</v>
      </c>
      <c r="C12" s="70">
        <v>0.89400000000000002</v>
      </c>
    </row>
    <row r="13" spans="1:3" ht="15" customHeight="1" x14ac:dyDescent="0.25">
      <c r="B13" s="7" t="s">
        <v>110</v>
      </c>
      <c r="C13" s="70">
        <v>0.65900000000000003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3.6699999999999997E-2</v>
      </c>
    </row>
    <row r="24" spans="1:3" ht="15" customHeight="1" x14ac:dyDescent="0.25">
      <c r="B24" s="20" t="s">
        <v>102</v>
      </c>
      <c r="C24" s="71">
        <v>0.53120000000000001</v>
      </c>
    </row>
    <row r="25" spans="1:3" ht="15" customHeight="1" x14ac:dyDescent="0.25">
      <c r="B25" s="20" t="s">
        <v>103</v>
      </c>
      <c r="C25" s="71">
        <v>0.40350000000000003</v>
      </c>
    </row>
    <row r="26" spans="1:3" ht="15" customHeight="1" x14ac:dyDescent="0.25">
      <c r="B26" s="20" t="s">
        <v>104</v>
      </c>
      <c r="C26" s="71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2.2999999999999998</v>
      </c>
    </row>
    <row r="38" spans="1:5" ht="15" customHeight="1" x14ac:dyDescent="0.25">
      <c r="B38" s="16" t="s">
        <v>91</v>
      </c>
      <c r="C38" s="75">
        <v>3.2</v>
      </c>
      <c r="D38" s="17"/>
      <c r="E38" s="18"/>
    </row>
    <row r="39" spans="1:5" ht="15" customHeight="1" x14ac:dyDescent="0.25">
      <c r="B39" s="16" t="s">
        <v>90</v>
      </c>
      <c r="C39" s="75">
        <v>3.5</v>
      </c>
      <c r="D39" s="17"/>
      <c r="E39" s="17"/>
    </row>
    <row r="40" spans="1:5" ht="15" customHeight="1" x14ac:dyDescent="0.25">
      <c r="B40" s="16" t="s">
        <v>171</v>
      </c>
      <c r="C40" s="75">
        <v>7.0000000000000007E-2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1.1701396932674999</v>
      </c>
      <c r="D51" s="17"/>
    </row>
    <row r="52" spans="1:4" ht="15" customHeight="1" x14ac:dyDescent="0.25">
      <c r="B52" s="16" t="s">
        <v>125</v>
      </c>
      <c r="C52" s="76">
        <v>1.1622651639999999</v>
      </c>
    </row>
    <row r="53" spans="1:4" ht="15.75" customHeight="1" x14ac:dyDescent="0.25">
      <c r="B53" s="16" t="s">
        <v>126</v>
      </c>
      <c r="C53" s="76">
        <v>1.1622651639999999</v>
      </c>
    </row>
    <row r="54" spans="1:4" ht="15.75" customHeight="1" x14ac:dyDescent="0.25">
      <c r="B54" s="16" t="s">
        <v>127</v>
      </c>
      <c r="C54" s="76">
        <v>0.89074126609600002</v>
      </c>
    </row>
    <row r="55" spans="1:4" ht="15.75" customHeight="1" x14ac:dyDescent="0.25">
      <c r="B55" s="16" t="s">
        <v>128</v>
      </c>
      <c r="C55" s="76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0.57351605608011647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76.430830296277207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40.292575813137638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702.89347992688124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6.6292215715502589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1.8920415276195339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1.8920415276195339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1.8920415276195339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1.8920415276195339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13.424875256933552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13.424875256933552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1.1316410568288993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0.81299999999999994</v>
      </c>
      <c r="C18" s="85">
        <v>0.95</v>
      </c>
      <c r="D18" s="87">
        <v>16.117383263005333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16.117383263005333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16.117383263005333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70.114008769456447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23.383432158561245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4.5372725454372071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18.854821117415401</v>
      </c>
      <c r="E24" s="86" t="s">
        <v>202</v>
      </c>
    </row>
    <row r="25" spans="1:5" ht="15.75" customHeight="1" x14ac:dyDescent="0.25">
      <c r="A25" s="52" t="s">
        <v>87</v>
      </c>
      <c r="B25" s="85">
        <v>0.65900000000000003</v>
      </c>
      <c r="C25" s="85">
        <v>0.95</v>
      </c>
      <c r="D25" s="86">
        <v>18.747721593540021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6.1475487828831543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10.111751691566292</v>
      </c>
      <c r="E27" s="86" t="s">
        <v>202</v>
      </c>
    </row>
    <row r="28" spans="1:5" ht="15.75" customHeight="1" x14ac:dyDescent="0.25">
      <c r="A28" s="52" t="s">
        <v>84</v>
      </c>
      <c r="B28" s="85">
        <v>0.31900000000000001</v>
      </c>
      <c r="C28" s="85">
        <v>0.95</v>
      </c>
      <c r="D28" s="86">
        <v>1.072754271958144</v>
      </c>
      <c r="E28" s="86" t="s">
        <v>202</v>
      </c>
    </row>
    <row r="29" spans="1:5" ht="15.75" customHeight="1" x14ac:dyDescent="0.25">
      <c r="A29" s="52" t="s">
        <v>58</v>
      </c>
      <c r="B29" s="85">
        <v>0.81299999999999994</v>
      </c>
      <c r="C29" s="85">
        <v>0.95</v>
      </c>
      <c r="D29" s="86">
        <v>155.64650540851463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1.3608848080436102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2.472250321876178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0.21299999999999999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0.95900000000000007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0.84200000000000008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2.1349101444303784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2.4933725279906174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8.9468490800000022E-2</v>
      </c>
      <c r="C3" s="26">
        <f>frac_mam_1_5months * 2.6</f>
        <v>8.9468490800000022E-2</v>
      </c>
      <c r="D3" s="26">
        <f>frac_mam_6_11months * 2.6</f>
        <v>6.4200172400000005E-2</v>
      </c>
      <c r="E3" s="26">
        <f>frac_mam_12_23months * 2.6</f>
        <v>1.8874441299999999E-2</v>
      </c>
      <c r="F3" s="26">
        <f>frac_mam_24_59months * 2.6</f>
        <v>4.0484327953333329E-2</v>
      </c>
    </row>
    <row r="4" spans="1:6" ht="15.75" customHeight="1" x14ac:dyDescent="0.25">
      <c r="A4" s="3" t="s">
        <v>66</v>
      </c>
      <c r="B4" s="26">
        <f>frac_sam_1month * 2.6</f>
        <v>0.16099442840000003</v>
      </c>
      <c r="C4" s="26">
        <f>frac_sam_1_5months * 2.6</f>
        <v>0.16099442840000003</v>
      </c>
      <c r="D4" s="26">
        <f>frac_sam_6_11months * 2.6</f>
        <v>7.1740193199999996E-2</v>
      </c>
      <c r="E4" s="26">
        <f>frac_sam_12_23months * 2.6</f>
        <v>0</v>
      </c>
      <c r="F4" s="26">
        <f>frac_sam_24_59months * 2.6</f>
        <v>1.7306518406666666E-2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6985.5145520000005</v>
      </c>
      <c r="C2" s="78">
        <v>19356</v>
      </c>
      <c r="D2" s="78">
        <v>41009</v>
      </c>
      <c r="E2" s="78">
        <v>44027</v>
      </c>
      <c r="F2" s="78">
        <v>41100</v>
      </c>
      <c r="G2" s="22">
        <f t="shared" ref="G2:G40" si="0">C2+D2+E2+F2</f>
        <v>145492</v>
      </c>
      <c r="H2" s="22">
        <f t="shared" ref="H2:H40" si="1">(B2 + stillbirth*B2/(1000-stillbirth))/(1-abortion)</f>
        <v>8060.7640510635156</v>
      </c>
      <c r="I2" s="22">
        <f>G2-H2</f>
        <v>137431.23594893649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6905.6513333333342</v>
      </c>
      <c r="C3" s="78">
        <v>19000</v>
      </c>
      <c r="D3" s="78">
        <v>41000</v>
      </c>
      <c r="E3" s="78">
        <v>43000</v>
      </c>
      <c r="F3" s="78">
        <v>41000</v>
      </c>
      <c r="G3" s="22">
        <f t="shared" si="0"/>
        <v>144000</v>
      </c>
      <c r="H3" s="22">
        <f t="shared" si="1"/>
        <v>7968.6078387704392</v>
      </c>
      <c r="I3" s="22">
        <f t="shared" ref="I3:I15" si="3">G3-H3</f>
        <v>136031.39216122957</v>
      </c>
    </row>
    <row r="4" spans="1:9" ht="15.75" customHeight="1" x14ac:dyDescent="0.25">
      <c r="A4" s="7">
        <f t="shared" si="2"/>
        <v>2019</v>
      </c>
      <c r="B4" s="77">
        <v>6829.974666666667</v>
      </c>
      <c r="C4" s="78">
        <v>19000</v>
      </c>
      <c r="D4" s="78">
        <v>41000</v>
      </c>
      <c r="E4" s="78">
        <v>43000</v>
      </c>
      <c r="F4" s="78">
        <v>42000</v>
      </c>
      <c r="G4" s="22">
        <f t="shared" si="0"/>
        <v>145000</v>
      </c>
      <c r="H4" s="22">
        <f t="shared" si="1"/>
        <v>7881.2825959941083</v>
      </c>
      <c r="I4" s="22">
        <f t="shared" si="3"/>
        <v>137118.7174040059</v>
      </c>
    </row>
    <row r="5" spans="1:9" ht="15.75" customHeight="1" x14ac:dyDescent="0.25">
      <c r="A5" s="7">
        <f t="shared" si="2"/>
        <v>2020</v>
      </c>
      <c r="B5" s="77">
        <v>6754.2979999999998</v>
      </c>
      <c r="C5" s="78">
        <v>19000</v>
      </c>
      <c r="D5" s="78">
        <v>40000</v>
      </c>
      <c r="E5" s="78">
        <v>43000</v>
      </c>
      <c r="F5" s="78">
        <v>42000</v>
      </c>
      <c r="G5" s="22">
        <f t="shared" si="0"/>
        <v>144000</v>
      </c>
      <c r="H5" s="22">
        <f t="shared" si="1"/>
        <v>7793.9573532177792</v>
      </c>
      <c r="I5" s="22">
        <f t="shared" si="3"/>
        <v>136206.04264678221</v>
      </c>
    </row>
    <row r="6" spans="1:9" ht="15.75" customHeight="1" x14ac:dyDescent="0.25">
      <c r="A6" s="7">
        <f t="shared" si="2"/>
        <v>2021</v>
      </c>
      <c r="B6" s="77">
        <v>6695.9544000000005</v>
      </c>
      <c r="C6" s="78">
        <v>18000</v>
      </c>
      <c r="D6" s="78">
        <v>39000</v>
      </c>
      <c r="E6" s="78">
        <v>42000</v>
      </c>
      <c r="F6" s="78">
        <v>43000</v>
      </c>
      <c r="G6" s="22">
        <f t="shared" si="0"/>
        <v>142000</v>
      </c>
      <c r="H6" s="22">
        <f t="shared" si="1"/>
        <v>7726.6331797458379</v>
      </c>
      <c r="I6" s="22">
        <f t="shared" si="3"/>
        <v>134273.36682025416</v>
      </c>
    </row>
    <row r="7" spans="1:9" ht="15.75" customHeight="1" x14ac:dyDescent="0.25">
      <c r="A7" s="7">
        <f t="shared" si="2"/>
        <v>2022</v>
      </c>
      <c r="B7" s="77">
        <v>6637.6107999999995</v>
      </c>
      <c r="C7" s="78">
        <v>19000</v>
      </c>
      <c r="D7" s="78">
        <v>39000</v>
      </c>
      <c r="E7" s="78">
        <v>42000</v>
      </c>
      <c r="F7" s="78">
        <v>43000</v>
      </c>
      <c r="G7" s="22">
        <f t="shared" si="0"/>
        <v>143000</v>
      </c>
      <c r="H7" s="22">
        <f t="shared" si="1"/>
        <v>7659.3090062738929</v>
      </c>
      <c r="I7" s="22">
        <f t="shared" si="3"/>
        <v>135340.69099372611</v>
      </c>
    </row>
    <row r="8" spans="1:9" ht="15.75" customHeight="1" x14ac:dyDescent="0.25">
      <c r="A8" s="7">
        <f t="shared" si="2"/>
        <v>2023</v>
      </c>
      <c r="B8" s="77">
        <v>6568.6896000000006</v>
      </c>
      <c r="C8" s="78">
        <v>19000</v>
      </c>
      <c r="D8" s="78">
        <v>39000</v>
      </c>
      <c r="E8" s="78">
        <v>41000</v>
      </c>
      <c r="F8" s="78">
        <v>43000</v>
      </c>
      <c r="G8" s="22">
        <f t="shared" si="0"/>
        <v>142000</v>
      </c>
      <c r="H8" s="22">
        <f t="shared" si="1"/>
        <v>7579.7790694051637</v>
      </c>
      <c r="I8" s="22">
        <f t="shared" si="3"/>
        <v>134420.22093059483</v>
      </c>
    </row>
    <row r="9" spans="1:9" ht="15.75" customHeight="1" x14ac:dyDescent="0.25">
      <c r="A9" s="7">
        <f t="shared" si="2"/>
        <v>2024</v>
      </c>
      <c r="B9" s="77">
        <v>6510.439800000001</v>
      </c>
      <c r="C9" s="78">
        <v>19000</v>
      </c>
      <c r="D9" s="78">
        <v>39000</v>
      </c>
      <c r="E9" s="78">
        <v>41000</v>
      </c>
      <c r="F9" s="78">
        <v>43000</v>
      </c>
      <c r="G9" s="22">
        <f t="shared" si="0"/>
        <v>142000</v>
      </c>
      <c r="H9" s="22">
        <f t="shared" si="1"/>
        <v>7512.5631341542366</v>
      </c>
      <c r="I9" s="22">
        <f t="shared" si="3"/>
        <v>134487.43686584575</v>
      </c>
    </row>
    <row r="10" spans="1:9" ht="15.75" customHeight="1" x14ac:dyDescent="0.25">
      <c r="A10" s="7">
        <f t="shared" si="2"/>
        <v>2025</v>
      </c>
      <c r="B10" s="77">
        <v>6452.19</v>
      </c>
      <c r="C10" s="78">
        <v>19000</v>
      </c>
      <c r="D10" s="78">
        <v>37000</v>
      </c>
      <c r="E10" s="78">
        <v>40000</v>
      </c>
      <c r="F10" s="78">
        <v>43000</v>
      </c>
      <c r="G10" s="22">
        <f t="shared" si="0"/>
        <v>139000</v>
      </c>
      <c r="H10" s="22">
        <f t="shared" si="1"/>
        <v>7445.3471989033087</v>
      </c>
      <c r="I10" s="22">
        <f t="shared" si="3"/>
        <v>131554.6528010967</v>
      </c>
    </row>
    <row r="11" spans="1:9" ht="15.75" customHeight="1" x14ac:dyDescent="0.25">
      <c r="A11" s="7">
        <f t="shared" si="2"/>
        <v>2026</v>
      </c>
      <c r="B11" s="77">
        <v>6398.7719999999999</v>
      </c>
      <c r="C11" s="78">
        <v>18000</v>
      </c>
      <c r="D11" s="78">
        <v>37000</v>
      </c>
      <c r="E11" s="78">
        <v>40000</v>
      </c>
      <c r="F11" s="78">
        <v>43000</v>
      </c>
      <c r="G11" s="22">
        <f t="shared" si="0"/>
        <v>138000</v>
      </c>
      <c r="H11" s="22">
        <f t="shared" si="1"/>
        <v>7383.7068013528624</v>
      </c>
      <c r="I11" s="22">
        <f t="shared" si="3"/>
        <v>130616.29319864714</v>
      </c>
    </row>
    <row r="12" spans="1:9" ht="15.75" customHeight="1" x14ac:dyDescent="0.25">
      <c r="A12" s="7">
        <f t="shared" si="2"/>
        <v>2027</v>
      </c>
      <c r="B12" s="77">
        <v>6355.7440000000006</v>
      </c>
      <c r="C12" s="78">
        <v>18000</v>
      </c>
      <c r="D12" s="78">
        <v>37000</v>
      </c>
      <c r="E12" s="78">
        <v>40000</v>
      </c>
      <c r="F12" s="78">
        <v>44000</v>
      </c>
      <c r="G12" s="22">
        <f t="shared" si="0"/>
        <v>139000</v>
      </c>
      <c r="H12" s="22">
        <f t="shared" si="1"/>
        <v>7334.0556907571718</v>
      </c>
      <c r="I12" s="22">
        <f t="shared" si="3"/>
        <v>131665.94430924283</v>
      </c>
    </row>
    <row r="13" spans="1:9" ht="15.75" customHeight="1" x14ac:dyDescent="0.25">
      <c r="A13" s="7">
        <f t="shared" si="2"/>
        <v>2028</v>
      </c>
      <c r="B13" s="77">
        <v>6302.5342000000001</v>
      </c>
      <c r="C13" s="78">
        <v>18000</v>
      </c>
      <c r="D13" s="78">
        <v>37000</v>
      </c>
      <c r="E13" s="78">
        <v>40000</v>
      </c>
      <c r="F13" s="78">
        <v>43000</v>
      </c>
      <c r="G13" s="22">
        <f t="shared" si="0"/>
        <v>138000</v>
      </c>
      <c r="H13" s="22">
        <f t="shared" si="1"/>
        <v>7272.655540516058</v>
      </c>
      <c r="I13" s="22">
        <f t="shared" si="3"/>
        <v>130727.34445948394</v>
      </c>
    </row>
    <row r="14" spans="1:9" ht="15.75" customHeight="1" x14ac:dyDescent="0.25">
      <c r="A14" s="7">
        <f t="shared" si="2"/>
        <v>2029</v>
      </c>
      <c r="B14" s="77">
        <v>6249.4632000000001</v>
      </c>
      <c r="C14" s="78">
        <v>18000</v>
      </c>
      <c r="D14" s="78">
        <v>36000</v>
      </c>
      <c r="E14" s="78">
        <v>40000</v>
      </c>
      <c r="F14" s="78">
        <v>42000</v>
      </c>
      <c r="G14" s="22">
        <f t="shared" si="0"/>
        <v>136000</v>
      </c>
      <c r="H14" s="22">
        <f t="shared" si="1"/>
        <v>7211.4155551478352</v>
      </c>
      <c r="I14" s="22">
        <f t="shared" si="3"/>
        <v>128788.58444485217</v>
      </c>
    </row>
    <row r="15" spans="1:9" ht="15.75" customHeight="1" x14ac:dyDescent="0.25">
      <c r="A15" s="7">
        <f t="shared" si="2"/>
        <v>2030</v>
      </c>
      <c r="B15" s="77">
        <v>6196.5309999999999</v>
      </c>
      <c r="C15" s="78">
        <v>18000</v>
      </c>
      <c r="D15" s="78">
        <v>36000</v>
      </c>
      <c r="E15" s="78">
        <v>39000</v>
      </c>
      <c r="F15" s="78">
        <v>42000</v>
      </c>
      <c r="G15" s="22">
        <f t="shared" si="0"/>
        <v>135000</v>
      </c>
      <c r="H15" s="22">
        <f t="shared" si="1"/>
        <v>7150.3357346525008</v>
      </c>
      <c r="I15" s="22">
        <f t="shared" si="3"/>
        <v>127849.6642653475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126.93181569038792</v>
      </c>
      <c r="I17" s="22">
        <f t="shared" si="4"/>
        <v>-126.93181569038792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4.1652252499999997E-3</v>
      </c>
    </row>
    <row r="4" spans="1:8" ht="15.75" customHeight="1" x14ac:dyDescent="0.25">
      <c r="B4" s="24" t="s">
        <v>7</v>
      </c>
      <c r="C4" s="79">
        <v>5.5680885579926447E-2</v>
      </c>
    </row>
    <row r="5" spans="1:8" ht="15.75" customHeight="1" x14ac:dyDescent="0.25">
      <c r="B5" s="24" t="s">
        <v>8</v>
      </c>
      <c r="C5" s="79">
        <v>3.2988819329216032E-2</v>
      </c>
    </row>
    <row r="6" spans="1:8" ht="15.75" customHeight="1" x14ac:dyDescent="0.25">
      <c r="B6" s="24" t="s">
        <v>10</v>
      </c>
      <c r="C6" s="79">
        <v>0.24579846538064978</v>
      </c>
    </row>
    <row r="7" spans="1:8" ht="15.75" customHeight="1" x14ac:dyDescent="0.25">
      <c r="B7" s="24" t="s">
        <v>13</v>
      </c>
      <c r="C7" s="79">
        <v>0.34946145374518744</v>
      </c>
    </row>
    <row r="8" spans="1:8" ht="15.75" customHeight="1" x14ac:dyDescent="0.25">
      <c r="B8" s="24" t="s">
        <v>14</v>
      </c>
      <c r="C8" s="79">
        <v>7.4212551552860274E-6</v>
      </c>
    </row>
    <row r="9" spans="1:8" ht="15.75" customHeight="1" x14ac:dyDescent="0.25">
      <c r="B9" s="24" t="s">
        <v>27</v>
      </c>
      <c r="C9" s="79">
        <v>0.11170011247750666</v>
      </c>
    </row>
    <row r="10" spans="1:8" ht="15.75" customHeight="1" x14ac:dyDescent="0.25">
      <c r="B10" s="24" t="s">
        <v>15</v>
      </c>
      <c r="C10" s="79">
        <v>0.20019761698235838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1.87253723112361E-2</v>
      </c>
      <c r="D14" s="79">
        <v>1.87253723112361E-2</v>
      </c>
      <c r="E14" s="79">
        <v>5.60584221262424E-3</v>
      </c>
      <c r="F14" s="79">
        <v>5.60584221262424E-3</v>
      </c>
    </row>
    <row r="15" spans="1:8" ht="15.75" customHeight="1" x14ac:dyDescent="0.25">
      <c r="B15" s="24" t="s">
        <v>16</v>
      </c>
      <c r="C15" s="79">
        <v>0.13006982878374801</v>
      </c>
      <c r="D15" s="79">
        <v>0.13006982878374801</v>
      </c>
      <c r="E15" s="79">
        <v>7.4374574777488794E-2</v>
      </c>
      <c r="F15" s="79">
        <v>7.4374574777488794E-2</v>
      </c>
    </row>
    <row r="16" spans="1:8" ht="15.75" customHeight="1" x14ac:dyDescent="0.25">
      <c r="B16" s="24" t="s">
        <v>17</v>
      </c>
      <c r="C16" s="79">
        <v>1.1069411549333698E-2</v>
      </c>
      <c r="D16" s="79">
        <v>1.1069411549333698E-2</v>
      </c>
      <c r="E16" s="79">
        <v>1.17443434898105E-2</v>
      </c>
      <c r="F16" s="79">
        <v>1.17443434898105E-2</v>
      </c>
    </row>
    <row r="17" spans="1:8" ht="15.75" customHeight="1" x14ac:dyDescent="0.25">
      <c r="B17" s="24" t="s">
        <v>18</v>
      </c>
      <c r="C17" s="79">
        <v>9.23067417760091E-6</v>
      </c>
      <c r="D17" s="79">
        <v>9.23067417760091E-6</v>
      </c>
      <c r="E17" s="79">
        <v>3.4173671432816098E-5</v>
      </c>
      <c r="F17" s="79">
        <v>3.4173671432816098E-5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7.9076496982609601E-2</v>
      </c>
      <c r="D19" s="79">
        <v>7.9076496982609601E-2</v>
      </c>
      <c r="E19" s="79">
        <v>0.11355607323388001</v>
      </c>
      <c r="F19" s="79">
        <v>0.11355607323388001</v>
      </c>
    </row>
    <row r="20" spans="1:8" ht="15.75" customHeight="1" x14ac:dyDescent="0.25">
      <c r="B20" s="24" t="s">
        <v>21</v>
      </c>
      <c r="C20" s="79">
        <v>8.7312311025048092E-3</v>
      </c>
      <c r="D20" s="79">
        <v>8.7312311025048092E-3</v>
      </c>
      <c r="E20" s="79">
        <v>4.3040207693432697E-2</v>
      </c>
      <c r="F20" s="79">
        <v>4.3040207693432697E-2</v>
      </c>
    </row>
    <row r="21" spans="1:8" ht="15.75" customHeight="1" x14ac:dyDescent="0.25">
      <c r="B21" s="24" t="s">
        <v>22</v>
      </c>
      <c r="C21" s="79">
        <v>0.11212971242442898</v>
      </c>
      <c r="D21" s="79">
        <v>0.11212971242442898</v>
      </c>
      <c r="E21" s="79">
        <v>0.31053031747017801</v>
      </c>
      <c r="F21" s="79">
        <v>0.31053031747017801</v>
      </c>
    </row>
    <row r="22" spans="1:8" ht="15.75" customHeight="1" x14ac:dyDescent="0.25">
      <c r="B22" s="24" t="s">
        <v>23</v>
      </c>
      <c r="C22" s="79">
        <v>0.64018871617196116</v>
      </c>
      <c r="D22" s="79">
        <v>0.64018871617196116</v>
      </c>
      <c r="E22" s="79">
        <v>0.4411144674511529</v>
      </c>
      <c r="F22" s="79">
        <v>0.4411144674511529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4.0999999999999995E-2</v>
      </c>
    </row>
    <row r="27" spans="1:8" ht="15.75" customHeight="1" x14ac:dyDescent="0.25">
      <c r="B27" s="24" t="s">
        <v>39</v>
      </c>
      <c r="C27" s="79">
        <v>0.312</v>
      </c>
    </row>
    <row r="28" spans="1:8" ht="15.75" customHeight="1" x14ac:dyDescent="0.25">
      <c r="B28" s="24" t="s">
        <v>40</v>
      </c>
      <c r="C28" s="79">
        <v>7.1399999999999991E-2</v>
      </c>
    </row>
    <row r="29" spans="1:8" ht="15.75" customHeight="1" x14ac:dyDescent="0.25">
      <c r="B29" s="24" t="s">
        <v>41</v>
      </c>
      <c r="C29" s="79">
        <v>8.7799999999999989E-2</v>
      </c>
    </row>
    <row r="30" spans="1:8" ht="15.75" customHeight="1" x14ac:dyDescent="0.25">
      <c r="B30" s="24" t="s">
        <v>42</v>
      </c>
      <c r="C30" s="79">
        <v>4.53E-2</v>
      </c>
    </row>
    <row r="31" spans="1:8" ht="15.75" customHeight="1" x14ac:dyDescent="0.25">
      <c r="B31" s="24" t="s">
        <v>43</v>
      </c>
      <c r="C31" s="79">
        <v>6.0499999999999998E-2</v>
      </c>
    </row>
    <row r="32" spans="1:8" ht="15.75" customHeight="1" x14ac:dyDescent="0.25">
      <c r="B32" s="24" t="s">
        <v>44</v>
      </c>
      <c r="C32" s="79">
        <v>0.1116</v>
      </c>
    </row>
    <row r="33" spans="2:3" ht="15.75" customHeight="1" x14ac:dyDescent="0.25">
      <c r="B33" s="24" t="s">
        <v>45</v>
      </c>
      <c r="C33" s="79">
        <v>0.1353</v>
      </c>
    </row>
    <row r="34" spans="2:3" ht="15.75" customHeight="1" x14ac:dyDescent="0.25">
      <c r="B34" s="24" t="s">
        <v>46</v>
      </c>
      <c r="C34" s="79">
        <v>0.13509999999776481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0.75122005003314918</v>
      </c>
      <c r="D2" s="80">
        <v>0.75122005003314918</v>
      </c>
      <c r="E2" s="80">
        <v>0.86623046944206006</v>
      </c>
      <c r="F2" s="80">
        <v>0.75907834589672596</v>
      </c>
      <c r="G2" s="80">
        <v>0.76803074203377164</v>
      </c>
    </row>
    <row r="3" spans="1:15" ht="15.75" customHeight="1" x14ac:dyDescent="0.25">
      <c r="A3" s="5"/>
      <c r="B3" s="11" t="s">
        <v>118</v>
      </c>
      <c r="C3" s="80">
        <v>0.15284131337110615</v>
      </c>
      <c r="D3" s="80">
        <v>0.15284131337110615</v>
      </c>
      <c r="E3" s="80">
        <v>3.7830893962195238E-2</v>
      </c>
      <c r="F3" s="80">
        <v>0.10900602878412516</v>
      </c>
      <c r="G3" s="80">
        <v>0.10005363264707944</v>
      </c>
    </row>
    <row r="4" spans="1:15" ht="15.75" customHeight="1" x14ac:dyDescent="0.25">
      <c r="A4" s="5"/>
      <c r="B4" s="11" t="s">
        <v>116</v>
      </c>
      <c r="C4" s="81">
        <v>1.9987215957446808E-2</v>
      </c>
      <c r="D4" s="81">
        <v>1.9987215957446808E-2</v>
      </c>
      <c r="E4" s="81">
        <v>1.9987215957446808E-2</v>
      </c>
      <c r="F4" s="81">
        <v>5.596420468085106E-2</v>
      </c>
      <c r="G4" s="81">
        <v>5.596420468085106E-2</v>
      </c>
    </row>
    <row r="5" spans="1:15" ht="15.75" customHeight="1" x14ac:dyDescent="0.25">
      <c r="A5" s="5"/>
      <c r="B5" s="11" t="s">
        <v>119</v>
      </c>
      <c r="C5" s="81">
        <v>7.5951420638297878E-2</v>
      </c>
      <c r="D5" s="81">
        <v>7.5951420638297878E-2</v>
      </c>
      <c r="E5" s="81">
        <v>7.5951420638297878E-2</v>
      </c>
      <c r="F5" s="81">
        <v>7.5951420638297878E-2</v>
      </c>
      <c r="G5" s="81">
        <v>7.5951420638297878E-2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0.7304982282731276</v>
      </c>
      <c r="D8" s="80">
        <v>0.7304982282731276</v>
      </c>
      <c r="E8" s="80">
        <v>0.90532542477955269</v>
      </c>
      <c r="F8" s="80">
        <v>0.96471969548185488</v>
      </c>
      <c r="G8" s="80">
        <v>0.93087956842469388</v>
      </c>
    </row>
    <row r="9" spans="1:15" ht="15.75" customHeight="1" x14ac:dyDescent="0.25">
      <c r="B9" s="7" t="s">
        <v>121</v>
      </c>
      <c r="C9" s="80">
        <v>0.1731698797268722</v>
      </c>
      <c r="D9" s="80">
        <v>0.1731698797268722</v>
      </c>
      <c r="E9" s="80">
        <v>4.2389819220447281E-2</v>
      </c>
      <c r="F9" s="80">
        <v>2.8020904018145155E-2</v>
      </c>
      <c r="G9" s="80">
        <v>4.6893182975306119E-2</v>
      </c>
    </row>
    <row r="10" spans="1:15" ht="15.75" customHeight="1" x14ac:dyDescent="0.25">
      <c r="B10" s="7" t="s">
        <v>122</v>
      </c>
      <c r="C10" s="81">
        <v>3.4410958000000005E-2</v>
      </c>
      <c r="D10" s="81">
        <v>3.4410958000000005E-2</v>
      </c>
      <c r="E10" s="81">
        <v>2.4692374000000003E-2</v>
      </c>
      <c r="F10" s="81">
        <v>7.2594004999999998E-3</v>
      </c>
      <c r="G10" s="81">
        <v>1.5570895366666665E-2</v>
      </c>
    </row>
    <row r="11" spans="1:15" ht="15.75" customHeight="1" x14ac:dyDescent="0.25">
      <c r="B11" s="7" t="s">
        <v>123</v>
      </c>
      <c r="C11" s="81">
        <v>6.1920934000000004E-2</v>
      </c>
      <c r="D11" s="81">
        <v>6.1920934000000004E-2</v>
      </c>
      <c r="E11" s="81">
        <v>2.7592381999999999E-2</v>
      </c>
      <c r="F11" s="81">
        <v>0</v>
      </c>
      <c r="G11" s="81">
        <v>6.656353233333333E-3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0.38283535024999998</v>
      </c>
      <c r="D14" s="82">
        <v>0.38541007546400002</v>
      </c>
      <c r="E14" s="82">
        <v>0.38541007546400002</v>
      </c>
      <c r="F14" s="82">
        <v>0.17029895451300001</v>
      </c>
      <c r="G14" s="82">
        <v>0.17029895451300001</v>
      </c>
      <c r="H14" s="83">
        <v>0.27200000000000002</v>
      </c>
      <c r="I14" s="83">
        <v>0.27200000000000002</v>
      </c>
      <c r="J14" s="83">
        <v>0.27200000000000002</v>
      </c>
      <c r="K14" s="83">
        <v>0.27200000000000002</v>
      </c>
      <c r="L14" s="83">
        <v>0.10445937697</v>
      </c>
      <c r="M14" s="83">
        <v>0.1242685294965</v>
      </c>
      <c r="N14" s="83">
        <v>0.14773287396699999</v>
      </c>
      <c r="O14" s="83">
        <v>0.13202566515199998</v>
      </c>
    </row>
    <row r="15" spans="1:15" ht="15.75" customHeight="1" x14ac:dyDescent="0.25">
      <c r="B15" s="16" t="s">
        <v>68</v>
      </c>
      <c r="C15" s="80">
        <f>iron_deficiency_anaemia*C14</f>
        <v>0.21956222020343003</v>
      </c>
      <c r="D15" s="80">
        <f t="shared" ref="D15:O15" si="0">iron_deficiency_anaemia*D14</f>
        <v>0.22103886645365337</v>
      </c>
      <c r="E15" s="80">
        <f t="shared" si="0"/>
        <v>0.22103886645365337</v>
      </c>
      <c r="F15" s="80">
        <f t="shared" si="0"/>
        <v>9.7669184746862911E-2</v>
      </c>
      <c r="G15" s="80">
        <f t="shared" si="0"/>
        <v>9.7669184746862911E-2</v>
      </c>
      <c r="H15" s="80">
        <f t="shared" si="0"/>
        <v>0.15599636725379168</v>
      </c>
      <c r="I15" s="80">
        <f t="shared" si="0"/>
        <v>0.15599636725379168</v>
      </c>
      <c r="J15" s="80">
        <f t="shared" si="0"/>
        <v>0.15599636725379168</v>
      </c>
      <c r="K15" s="80">
        <f t="shared" si="0"/>
        <v>0.15599636725379168</v>
      </c>
      <c r="L15" s="80">
        <f t="shared" si="0"/>
        <v>5.9909129900420549E-2</v>
      </c>
      <c r="M15" s="80">
        <f t="shared" si="0"/>
        <v>7.1269996931708296E-2</v>
      </c>
      <c r="N15" s="80">
        <f t="shared" si="0"/>
        <v>8.4727175230934745E-2</v>
      </c>
      <c r="O15" s="80">
        <f t="shared" si="0"/>
        <v>7.5718838779329098E-2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0.13500000000000001</v>
      </c>
      <c r="D2" s="81">
        <v>0.13500000000000001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0.19899999999999998</v>
      </c>
      <c r="D3" s="81">
        <v>0.19899999999999998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0.32799999999999996</v>
      </c>
      <c r="D4" s="81">
        <v>0.32799999999999996</v>
      </c>
      <c r="E4" s="81">
        <v>0.44900000000000001</v>
      </c>
      <c r="F4" s="81">
        <v>0.14599999999999999</v>
      </c>
      <c r="G4" s="81">
        <v>0</v>
      </c>
    </row>
    <row r="5" spans="1:7" x14ac:dyDescent="0.25">
      <c r="B5" s="43" t="s">
        <v>169</v>
      </c>
      <c r="C5" s="80">
        <f>1-SUM(C2:C4)</f>
        <v>0.33800000000000008</v>
      </c>
      <c r="D5" s="80">
        <f>1-SUM(D2:D4)</f>
        <v>0.33800000000000008</v>
      </c>
      <c r="E5" s="80">
        <f>1-SUM(E2:E4)</f>
        <v>0.55099999999999993</v>
      </c>
      <c r="F5" s="80">
        <f>1-SUM(F2:F4)</f>
        <v>0.85399999999999998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9.6739999999999993E-2</v>
      </c>
      <c r="D2" s="144">
        <v>9.6430000000000002E-2</v>
      </c>
      <c r="E2" s="144">
        <v>9.6140000000000003E-2</v>
      </c>
      <c r="F2" s="144">
        <v>9.5879999999999993E-2</v>
      </c>
      <c r="G2" s="144">
        <v>9.5649999999999999E-2</v>
      </c>
      <c r="H2" s="144">
        <v>9.5429999999999987E-2</v>
      </c>
      <c r="I2" s="144">
        <v>9.5229999999999995E-2</v>
      </c>
      <c r="J2" s="144">
        <v>9.5060000000000006E-2</v>
      </c>
      <c r="K2" s="144">
        <v>9.4920000000000004E-2</v>
      </c>
      <c r="L2" s="144">
        <v>9.4810000000000005E-2</v>
      </c>
      <c r="M2" s="144">
        <v>9.4730000000000009E-2</v>
      </c>
      <c r="N2" s="144">
        <v>9.4670000000000004E-2</v>
      </c>
      <c r="O2" s="144">
        <v>9.4629999999999992E-2</v>
      </c>
      <c r="P2" s="144">
        <v>9.4619999999999996E-2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2.5070000000000002E-2</v>
      </c>
      <c r="D4" s="144">
        <v>2.4590000000000001E-2</v>
      </c>
      <c r="E4" s="144">
        <v>2.4119999999999999E-2</v>
      </c>
      <c r="F4" s="144">
        <v>2.367E-2</v>
      </c>
      <c r="G4" s="144">
        <v>2.3239999999999997E-2</v>
      </c>
      <c r="H4" s="144">
        <v>2.2850000000000002E-2</v>
      </c>
      <c r="I4" s="144">
        <v>2.2480000000000003E-2</v>
      </c>
      <c r="J4" s="144">
        <v>2.2109999999999998E-2</v>
      </c>
      <c r="K4" s="144">
        <v>2.1749999999999999E-2</v>
      </c>
      <c r="L4" s="144">
        <v>2.1400000000000002E-2</v>
      </c>
      <c r="M4" s="144">
        <v>2.1049999999999999E-2</v>
      </c>
      <c r="N4" s="144">
        <v>2.0720000000000002E-2</v>
      </c>
      <c r="O4" s="144">
        <v>2.0390000000000002E-2</v>
      </c>
      <c r="P4" s="144">
        <v>2.0080000000000001E-2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0.12231851031738396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0.15599636725379165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7.4763021683480688E-2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0.13500000000000001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0.247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4.0250000000000004</v>
      </c>
      <c r="D13" s="143">
        <v>3.9220000000000002</v>
      </c>
      <c r="E13" s="143">
        <v>3.81</v>
      </c>
      <c r="F13" s="143">
        <v>3.6920000000000002</v>
      </c>
      <c r="G13" s="143">
        <v>3.5760000000000001</v>
      </c>
      <c r="H13" s="143">
        <v>3.4660000000000002</v>
      </c>
      <c r="I13" s="143">
        <v>3.3679999999999999</v>
      </c>
      <c r="J13" s="143">
        <v>3.22</v>
      </c>
      <c r="K13" s="143">
        <v>3.1269999999999998</v>
      </c>
      <c r="L13" s="143">
        <v>3.0390000000000001</v>
      </c>
      <c r="M13" s="143">
        <v>2.9540000000000002</v>
      </c>
      <c r="N13" s="143">
        <v>2.8740000000000001</v>
      </c>
      <c r="O13" s="143">
        <v>2.8090000000000002</v>
      </c>
      <c r="P13" s="143">
        <v>2.7410000000000001</v>
      </c>
    </row>
    <row r="14" spans="1:16" x14ac:dyDescent="0.25">
      <c r="B14" s="16" t="s">
        <v>170</v>
      </c>
      <c r="C14" s="143">
        <f>maternal_mortality</f>
        <v>7.0000000000000007E-2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0.23600000000000002</v>
      </c>
      <c r="E2" s="92">
        <f>food_insecure</f>
        <v>0.23600000000000002</v>
      </c>
      <c r="F2" s="92">
        <f>food_insecure</f>
        <v>0.23600000000000002</v>
      </c>
      <c r="G2" s="92">
        <f>food_insecure</f>
        <v>0.23600000000000002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0.23600000000000002</v>
      </c>
      <c r="F5" s="92">
        <f>food_insecure</f>
        <v>0.23600000000000002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4.5005372817980768E-2</v>
      </c>
      <c r="D7" s="92">
        <f>diarrhoea_1_5mo/26</f>
        <v>4.4702506307692305E-2</v>
      </c>
      <c r="E7" s="92">
        <f>diarrhoea_6_11mo/26</f>
        <v>4.4702506307692305E-2</v>
      </c>
      <c r="F7" s="92">
        <f>diarrhoea_12_23mo/26</f>
        <v>3.4259279465230767E-2</v>
      </c>
      <c r="G7" s="92">
        <f>diarrhoea_24_59mo/26</f>
        <v>3.4259279465230767E-2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0.23600000000000002</v>
      </c>
      <c r="F8" s="92">
        <f>food_insecure</f>
        <v>0.23600000000000002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0.89400000000000002</v>
      </c>
      <c r="E9" s="92">
        <f>IF(ISBLANK(comm_deliv), frac_children_health_facility,1)</f>
        <v>0.89400000000000002</v>
      </c>
      <c r="F9" s="92">
        <f>IF(ISBLANK(comm_deliv), frac_children_health_facility,1)</f>
        <v>0.89400000000000002</v>
      </c>
      <c r="G9" s="92">
        <f>IF(ISBLANK(comm_deliv), frac_children_health_facility,1)</f>
        <v>0.89400000000000002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4.5005372817980768E-2</v>
      </c>
      <c r="D11" s="92">
        <f>diarrhoea_1_5mo/26</f>
        <v>4.4702506307692305E-2</v>
      </c>
      <c r="E11" s="92">
        <f>diarrhoea_6_11mo/26</f>
        <v>4.4702506307692305E-2</v>
      </c>
      <c r="F11" s="92">
        <f>diarrhoea_12_23mo/26</f>
        <v>3.4259279465230767E-2</v>
      </c>
      <c r="G11" s="92">
        <f>diarrhoea_24_59mo/26</f>
        <v>3.4259279465230767E-2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0.23600000000000002</v>
      </c>
      <c r="I14" s="92">
        <f>food_insecure</f>
        <v>0.23600000000000002</v>
      </c>
      <c r="J14" s="92">
        <f>food_insecure</f>
        <v>0.23600000000000002</v>
      </c>
      <c r="K14" s="92">
        <f>food_insecure</f>
        <v>0.23600000000000002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0.86599999999999999</v>
      </c>
      <c r="I17" s="92">
        <f>frac_PW_health_facility</f>
        <v>0.86599999999999999</v>
      </c>
      <c r="J17" s="92">
        <f>frac_PW_health_facility</f>
        <v>0.86599999999999999</v>
      </c>
      <c r="K17" s="92">
        <f>frac_PW_health_facility</f>
        <v>0.86599999999999999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0.65900000000000003</v>
      </c>
      <c r="M23" s="92">
        <f>famplan_unmet_need</f>
        <v>0.65900000000000003</v>
      </c>
      <c r="N23" s="92">
        <f>famplan_unmet_need</f>
        <v>0.65900000000000003</v>
      </c>
      <c r="O23" s="92">
        <f>famplan_unmet_need</f>
        <v>0.65900000000000003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5.8056132379150638E-2</v>
      </c>
      <c r="M24" s="92">
        <f>(1-food_insecure)*(0.49)+food_insecure*(0.7)</f>
        <v>0.53956000000000004</v>
      </c>
      <c r="N24" s="92">
        <f>(1-food_insecure)*(0.49)+food_insecure*(0.7)</f>
        <v>0.53956000000000004</v>
      </c>
      <c r="O24" s="92">
        <f>(1-food_insecure)*(0.49)+food_insecure*(0.7)</f>
        <v>0.53956000000000004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2.4881199591064558E-2</v>
      </c>
      <c r="M25" s="92">
        <f>(1-food_insecure)*(0.21)+food_insecure*(0.3)</f>
        <v>0.23124</v>
      </c>
      <c r="N25" s="92">
        <f>(1-food_insecure)*(0.21)+food_insecure*(0.3)</f>
        <v>0.23124</v>
      </c>
      <c r="O25" s="92">
        <f>(1-food_insecure)*(0.21)+food_insecure*(0.3)</f>
        <v>0.23124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2.4661697570800882E-2</v>
      </c>
      <c r="M26" s="92">
        <f>(1-food_insecure)*(0.3)</f>
        <v>0.22919999999999999</v>
      </c>
      <c r="N26" s="92">
        <f>(1-food_insecure)*(0.3)</f>
        <v>0.22919999999999999</v>
      </c>
      <c r="O26" s="92">
        <f>(1-food_insecure)*(0.3)</f>
        <v>0.22919999999999999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0.89240097045898392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2020-03-24T06:49:57Z</dcterms:modified>
</cp:coreProperties>
</file>