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364A37A0-C055-4642-A81E-BC9B11A8D8C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I11" i="2" s="1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I15" i="2" s="1"/>
  <c r="G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81BFCEC9-EA4A-4D40-9A13-17287876FB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C00EBA4-7AB2-4546-AE60-6536E0BE5B7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7F68D507-1012-4FBF-B387-09274F2C667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D90E732-9944-4291-9395-0891564E138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8EDE82B-D008-46A2-AA2B-5B10E91C11C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4545618E-1350-46EA-A452-8DDEDD0C8238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38764510-8B9F-4835-A630-00053BB13F6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2A81E41-F759-41AC-8C02-D5F75F9A6A8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07B16D6-333C-4E0D-874A-C2ACD4F53F4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F15D74C-60B3-4325-9840-6C4AD570637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B817B37-F030-425D-94EE-1E7020F3F32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5A79D445-A8E7-4C4F-8C5B-E7137E0872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F318AE5-BA32-4D90-AB44-AD118F153E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F05FDA4E-D66E-455D-95B2-6F4CD488966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B91E7C5-2528-4297-9E60-43AB0F3B16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78EC5E7-E81C-4444-8801-7537BA37963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4627232-CFDE-4DCF-964F-B246A9BE51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BBB27CE-2513-4018-ABC6-193317215C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3A05FF2-E9F3-4D29-8133-B21C03BDC3D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7FC96C8F-970D-4CA3-B25B-BA929957690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5F38EC6-F269-47D5-860F-FB37EF1B87D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A6507AD-09D2-4E30-95D9-47E77883D9F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2006354-A132-460F-A6A2-50115E76DC17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5E2D9F2B-A608-4627-9BB9-D4C5C7C37D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5B9A0BA2-E447-4856-8865-710D0C4479F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4FF3ADE9-F91F-4CEF-9D8C-7A0BEFE061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8F1ACA2-AB72-4428-A85E-25A9DC0E06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960CC52-7F75-4E11-9BBC-C343715E86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4E97272-2287-45FF-8B44-30844756D9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C0CBE08-FA32-4BC5-AE93-FF6675AC2E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20FE7E57-3AC8-4FCA-AEF6-49958189FF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977328F-69D9-46B2-9255-0E875D671D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4C37CA94-8736-464D-8120-BC9EB9DFC2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A261537-2D3D-4604-879B-758A9D16242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56CDD118-B3C9-484E-B509-3DA53C0404C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616AF27-77FA-4FDA-BFCE-7F61308433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BFB5C233-2EF4-4E9A-A9D7-FDC07BB291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8B4F0B35-27C0-40BA-A1A1-47AC9B1D10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56F32ACE-BD3F-4EB1-B0F6-DF13591828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32270AA-CEB4-4A17-ACCD-72817F30D7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FF9DCA0-B0B9-4068-8B1A-6D68B678CF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C808EDDA-E1FF-482C-8DB6-8C3B36ED13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D3A6DA6-0EA8-408A-9B8F-0CD6BB65B2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36032794-0C68-4DFD-A659-F16D2FE57E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C040513-8BE3-40FD-AEC6-34F901AC6E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284B516-6B4A-41D7-B543-5D071F2D5A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5E146CD-5BC9-4A61-B8D6-A92082D887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62F156A-C7F8-4225-97F0-03F15339C9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FE9A8378-CD0E-470F-A2E4-B95B928797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1C6F9F85-83A1-4A3F-A66D-2E1B722483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D3A38D6E-1543-4F16-8FDE-7BF1949010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75092F0-925A-4F83-81E5-BD498ECC47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71FA17D3-86C9-4203-8D61-9FB0424167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92B8D83F-CC9C-4CFD-92FE-CAC4EE5C5F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5A0C45E-2252-4613-9E9D-AEA67BFF20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DA19F48-EBDA-497E-A296-96525669A4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D0E96755-ECFE-4E4A-BD3E-691BA0787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0B39CFC6-73C3-4A2D-AF72-FE3E353422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58419BF-F765-4169-B444-4443A0A0BD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D45BDDE-ED66-4110-9417-E293DAC9DF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5F6874F-3407-4F3F-804C-914A9346C2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5BE748C2-5214-48DD-B434-76695C1974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C17736F-8337-4292-AEEE-5C48A6EB35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0EEE7D60-AF25-4424-A0B1-83C80460EA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9015E1E-1A5E-4088-A50F-A53CA063AE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5CCD2853-EA15-4FDB-B327-BB400A8980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3F74718-464D-4DFD-8B7E-A0664F5ED1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5F710D7C-0829-4881-9A74-D4D946738A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ABF46EA-EC63-4967-903E-A1CE594F60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2C1787E-F838-43A6-A8E4-5E9575FBAB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BA11CB7-0970-4302-861B-5A76CCC414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E8BE2276-45D1-4DCE-BDBF-DC42C5FA46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26815DD-927E-4EEC-A17A-74494A017B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684FDD0-F9DC-4315-BD91-5086E1282D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DFF909CD-93EC-4D7C-BBE4-9711B66A9B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5F8CDE8-D1A6-4F5B-8D40-CE852315FD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AB7B151-722E-4858-A720-11B7B02521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5D7AFC5-A7EC-47FA-A0E5-5C52D6F2F5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FCACDFD0-B896-44CA-8A40-5F5B33BD89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C3615D52-BA41-43CF-9BC5-695B95EB0E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3A1EDD8-CA0C-41F6-A84F-3DC09F3D2D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0FA6F72-9D74-494E-97A0-528E6CAEEA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ECA2B0F-3B08-4CF6-ABFA-E18C287B08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69C7AA5-3203-410B-A5AD-456B791ED1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3D10FC8-093A-45F3-B488-9DC7E6BADB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E42C7ED-F289-4568-BD72-3DC7948688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9B4D6F3-3694-4356-8A9E-B7D189546D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FA568C5-D2AA-4FCD-8A37-83A0ABA992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510EA77-6626-4200-AF96-72033E8AE0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25A863A-7D3B-48E6-9FA4-8B0ED2A9DB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E06B679-D83D-41AD-A8F4-8937AFDD3E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59EB734-1467-415C-86B3-6989FA3CA3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52F0A9E-D032-4E6E-92B5-65B42801B3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7FF80726-B23B-4EA5-8E22-C2C6519BAD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00EA41A-689B-4E9E-AEEA-4B8FF908E7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39B29A43-CF37-4577-A43A-09D4FF7EFE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E285C381-4787-4489-8F67-D8CFF3E093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1040283-5336-4619-B60A-F5C58221A1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FDFBBD5-1C18-4B8B-A315-9E3E8F4EAC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795ED04-9CA1-46A9-BF61-7210699D90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0B29D19-5454-4D3F-BAA2-2E17E2D249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E3B81B04-B898-4273-B3B8-31D425C859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AA1D34CD-06B4-4AAD-81E1-F6F6A3914C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091406A0-7BA4-4A20-8467-65D73145E5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CE088FE-5D2F-4F84-B137-D39DD495DD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9645861-F818-416E-BDD0-5795FF8F1E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18C75D0-3F70-4A4E-BA0C-0D7A678E35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DE461CB-87AA-4853-B0A6-DF994BAE35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AD620D9A-944E-421C-A058-135D64F23C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E46AEBB-9210-46ED-A8F4-2D3B7501E2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1666A557-3450-4F86-B0AB-CD1E813E5A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AF16D1D-4479-4BF1-939D-A8CBC848C5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475279D-EBCD-4B1B-876E-2E32BF7829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FF99A3B-81AB-4DDD-B416-DE8BADC9CD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DEF102C-5FD2-4CD4-9AE5-634841A241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1B91D9F-534A-4758-BFB5-3B28519C74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A9FDAB1-54AA-4351-8B84-75644A449C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4F04A67-B8B9-4812-99C3-659E1493FD7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9DD6E35-E273-44AC-BB06-6417E478E6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7B88D89-837D-4AEC-90C8-FE97920DA0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C36FF41-ADBC-46ED-A039-3DF8E6780F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169F93D-8350-4ADA-98FA-7D12059422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C2C8250-DBFC-4291-AD27-1820D6EF55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E909F23-993F-4029-A534-E5631DDF48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BB693D1-3829-4EDD-94B3-5331F6610F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9283ADC-98BC-4580-BA9E-C58BA98193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798909F5-03B6-4B99-91AB-40398CEC9B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46611E87-7421-4845-889D-A2AAAA77F3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57C3342E-4BB4-4B20-AFFB-675D76ACC7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4D6C23A-A564-4550-A10C-EF282EF8BB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737F4EF-B240-4193-A550-E0EFD85E7E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8D17C587-C4F8-48FF-A18A-F00905B277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EFE57568-94F3-4D01-BE7A-C58B8042AB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C31CEF5-0571-4302-A133-A52BADF1EA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26ED804-A45D-4677-B66C-8FF60B60B6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0378E07-BE5E-43E7-AA03-E7BFCD43B7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7B88B656-22AC-469C-BA39-8216515149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9775CD3-4859-4781-9FD7-26C8DFFBDF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7937E0A-CE36-4971-8FEF-62D1C525831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CE0663BF-9199-422C-A59C-31D3E73250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1C810A3-B57D-4700-AED8-8B78B66A52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047A75EE-FD7E-4E84-B4AD-580D1E813B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8FFBB90A-FD20-449F-A720-0ADDCB04C0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75434E33-A2DD-4B35-AC88-6278B83AEB2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BA8FD93-37A6-4817-BEFA-ED347F1E10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54107B7D-6A97-4F48-B8A4-B04CCDCC1FD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5B6BB68-C78F-49A5-8E82-CC28E25F3C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A97ADC3D-99ED-4985-8F93-BF4DAA0E26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EB11965-203B-47C0-A606-5D26C6E066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0233D11-3E9F-4A6D-9242-1B71876904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00D7E9C-2BEB-4411-BE81-862EDDBCDD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5EADA87-1236-41A6-923B-0D0D7878BD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4773A2D-1AA3-4FD8-AAAE-D621493D33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3ED5EFC-AAF4-4153-B9B3-4CAAC0C544F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AD02F47-710A-4E84-A28D-4A6AF404BD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152EB8E-DD8B-40DC-A495-CCF183C8BBF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EDBAA252-B556-4F18-94A9-063137B519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710F21F8-8FE6-4495-A4BE-CF621E73399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97906F0-9345-446A-849D-BC425C2CA8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168891BB-C0DD-4432-9E34-59B5AA0BA9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95D0C4EC-3A86-423B-898D-8BDD054826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5C73F4F9-0E24-4EC8-A73B-84A431F0EC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519568F-AE1E-4B76-B170-4BFFD469E2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0C4269B-47DC-4CAA-A398-D9F826F25C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8D49A2F-EDD6-4F9E-86A3-57D5B138B9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0CDEE895-DF18-459F-BE8A-7662DDF3C6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D4EB0130-1B5D-427A-9DEF-7C41009A73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84268D7-33F5-47B4-BC54-8DC40CF237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DB8C916-3677-4879-A3D7-09F3A36ACD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F81041BB-1A81-4609-BF93-4F99E8A701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C91E86B-D0C7-44E6-B53F-D528BBD012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7AF7F7E-F46E-421D-BC16-7815924815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5254319-7EC0-4B1D-BC97-43F60FBF22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4E260E33-93DD-40CA-8AE1-0E97A5FE4F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1AFC84E-8706-44A2-91AC-85AD356439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2B60206F-AA48-4FDA-88DA-C70A50C495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D7EBFBCE-F344-41EA-B080-A6488621D4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C695BA89-E95F-44EA-812D-E73D1DA53E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1CB8B7C-BA7E-4130-905A-6A4E82D26D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65FFFDDE-BC0B-4E1C-A791-BD848D210F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8031648-0A07-41A7-B098-A2DA67D76F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7A1DD8DA-87C4-4FB5-A541-DBACC1AD32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4AAFBBF-42F0-4AC4-947B-83735396FA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008D8F61-1AF1-4BD7-A5E8-A086A0047D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5D0F09E-306D-4753-B2A8-2D320F97BD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F6A67B4F-A523-44E8-B357-8F1988F02C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E7BF840F-A279-48D8-8582-8E8A527539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47844612-6D67-43BE-9395-C3D6D49390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9CD8562A-26D6-4927-B693-B5E45922A7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4046F579-B2A5-4A57-A156-FC12949A7B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09E9938-08D5-4CDA-9509-15D78D706C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5794763-5D42-4237-9FE2-0AC018D6FF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561B2639-E435-46C4-A487-0A413CB3F8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C557E2D-8BD9-4CEC-815C-625E8F0A39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3F37599-D4B8-47F6-953B-A135AAA028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4D9E655-AD32-4565-8732-22A9EEB784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E05351D8-EA1F-4154-8EE3-9E278AE3B7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586F211-7A35-4931-81B9-D8ECCFFD72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BC5B1AE-CEB1-425E-8602-1419DE5D50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AA58FAE-882A-4A14-9BB6-D322FE8130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4B36D2A-D4D1-4824-B7CB-EDA6CB3659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0967AEF-33D5-49C0-8CBD-B0107675F6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0DFF563-0830-4B68-9B49-0B5C611E24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7E731B3F-D5DE-41E5-A77E-C824194A009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A71504F7-3CF4-4AEF-ACA8-63EB0197241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6095435-DBA3-4C63-9462-0FD966D9E99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26D85668-461D-4DDF-9BDB-59D614B567E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1C178C7-29B0-4485-91E0-5F6CF69002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713A7BE-6130-408F-92C8-75474624F4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059245E-463A-4018-9976-6B582B5DAC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3B0808A-A379-4C97-A165-ECDF504198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DE4BE7D-FDD1-42EF-8217-8BD0F2333F3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8D1A2B5F-9790-456B-92C4-58D81546917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5FF1A7E-4914-48EF-A867-3379B5BB2B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CDBA42A9-4C71-40CC-85B5-F6E7B26FDC1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0AF9F54-4DDC-4009-B7B2-2057BA4C2CA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E555A89C-548D-4004-9A64-8953ADF6E75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300557F5-7B17-438C-8821-A5A5416E3E1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966E79A6-88CD-46EA-AFD0-D9736FCA20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A20C183-8FDF-41E3-8B6D-76622EE5AE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3DC3269-27B4-45FA-993F-D0DCD4BE14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DF6FB62-1FB3-4E61-BC19-FB4E2E2096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22FC1101-A15F-4CCF-A565-F1D38D50E3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81D426F0-343D-4D3A-8ACD-AAAB37A0F7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B3268F2B-18E2-42CC-8DC5-4EFE74089D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629D0F73-9EE9-494B-BCA5-DBB2441159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B609314C-4CE3-4069-A6E9-8B028C1AF2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CE7ED50-5EC6-4FFA-B922-4C5A31D961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22742C65-AABE-472E-B522-7A024DCBA2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6806DB1-7EAA-4406-8BEC-5F452A5D58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3B0390F6-7FD5-4D12-A7BB-016A7AB769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CF127FD-339F-49B8-BDAD-A41AD822DF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11600CB-68F9-4B3B-AD6E-EBEA97D69E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EB35C7E-1B0B-48A8-8972-6D040ECC30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929ABE7-362F-4209-841B-5DF9C3C448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8CCD271-0BBD-4A1A-B287-EEC74B9EFF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F9A6D8D-60DD-4CD3-8DC3-0918192451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80D9E39-979F-497C-8FDE-53ADFE4232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E71536FB-2E51-4833-BBCF-59E5F6FF88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A2A78C4-33EE-4206-9F1A-E8FC00EA62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F126CB3-D397-48F4-905C-214B0D0974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7C02FEAF-DC38-494E-A578-827CC8B8E7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97E72F5-3DA7-4D92-950B-5F4A7EE0AE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FD37BAA1-DDA0-4AA5-9093-C521019559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B0E1F7DF-227D-4B76-8A22-C7AE40E1DD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4A9688F-3AB9-49A8-B675-0454BA5D7B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5115AF1A-B643-41CD-859D-82BA435EA4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7F2B7E4-2ACB-4897-AF28-90CDA2F6A3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AFD805B-EC83-4552-AFB3-FF2B065529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B74EC61-D61B-4E98-8A37-0EEED6CA95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43302A87-B7AD-4A9F-9F90-1A84408B8D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4AEDCB1-FC7D-4D19-9C75-40BF54627A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2361DEE-6461-44AD-8030-76A144252F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47BE304A-0185-426F-B4AE-7C63D1AC0B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D51A39BB-811C-484B-B5AA-C6E28D9F84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DE8C07D-8642-474F-B47A-3F91BB7F6A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5880F98-433E-418F-A032-71FC938C81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719BFC7-CE17-4B50-AA8D-42A8A9E2C2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67AE65F5-9E54-4AD0-BBB3-7085C2CFE0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D815BDB-3A46-4E64-A153-7F1A8408F3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87686F50-E2B0-46E2-831C-141DC9CD5D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2ABF285-0C70-41C2-914B-0E055F6D44C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457EFA9-C69B-4302-853D-5DC0961624F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4F28C448-6CFA-4E37-91F6-1C0F07D2692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1CD9C75-5A02-460A-8FE2-2BB4528B48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AC236A6-3624-48E6-88D4-3E2D91D083BF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BD5846E-ADA2-49D3-9514-2361DE7F476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746EC72C-C914-4991-A273-F5AEC9640B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48A3127-6F5C-4EB9-BB3B-63C3B71C3DC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87ABD24-BEF8-4EC4-8228-496C95CA3B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0B98DAE-A168-4482-9E1B-A2F78207A1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2A495839-E0C5-4D43-A33B-FA3894020FB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48D88BF-00C5-47B7-8FC4-F6147167F17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FEEEE63C-850E-428E-BBC6-E34F9F560F4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C5EF4F9-1EC4-4E13-8021-8AA28503550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AA6D6B9E-143C-4516-B320-38463ADFE25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AC13176-0559-4BF4-B3B9-385B7B42A20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B201E16-A9E1-4230-B341-3D0B1E8D38C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BD66FCB-5212-440C-95C3-8E9F6ABC07E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D4E0039E-F362-4B35-99AB-0C7DFBF5331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D238C8B-005F-4007-BAD9-D5ABAA9B7D4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513B839C-C902-4AA6-8E57-7E3EDB99AC5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C521D751-E8FA-4331-8DD0-CC531FE896C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A8E2F1B-1298-4547-937B-A082E40ABB2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8D3950D-13F4-4BFA-9B81-269C52B88D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E16C1A5-31A9-4887-A6DD-DB2F3149213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E609E20-E549-4990-8E42-DF8AFA37F5E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DA07A68-8D35-4009-9F07-F51204FB28BA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B830CFA-034B-4431-8501-A47B8E6F0C8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C23CC469-011C-4B25-8262-C9FB888E9B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B2D261D-089F-4E7D-9B99-C9A8BA1FAC3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C73B3177-D903-432D-9C32-E75A18019B7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F7542BEF-FD9E-4B11-A35E-595C9A82917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3ED9589E-CE9C-4676-BAB1-A27263EAE19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A6872932-4C39-4B96-9AEF-277735AEA5A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7EA090B-64D3-46B7-8ABB-E84E34AE105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9C6FAA57-263C-4D35-8679-5A3D9F9BFA3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0AE16FD-0C9F-42B8-8656-DBA459147BC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9E614C0-6713-4FB7-83D2-E961AC42C6D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933BA03-05CE-4DE7-8F38-0505EE0279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6A7960B-AE78-41D8-8381-F3ED12FE347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95FE63B6-FB1B-4D3E-A966-D555E9F438E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C761EEF0-5F2A-41A9-9724-2AB2B75AA3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0329556-42BA-4D52-89F0-41E000D50CD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A44948CE-FDCF-4BE0-A05A-697545FC7DA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562C4FA-05AE-4858-B511-CDC4ABE38D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FDE7B79F-A315-4FD0-A5AE-886145A40FE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1AA25164-C91E-4D34-833D-D565A72BE1B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7DD4E7F-D905-495B-8BA9-00169BF9CD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0B2B988-6AF3-47DA-847D-007AA736A92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987AD96B-43D6-426B-A67A-674FCA2247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9885E51-1EAF-4588-9127-EA2F76BBC05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4033ED7-B794-46FF-9F7B-2C2EF5566A8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18B2DC7D-17EC-4B93-BC59-85140576C0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9A46EB1-9035-4839-BB31-49C0240FA5A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726E30F-80DC-446C-B23A-E1077B27820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D6430BE-5B8E-48E4-B391-68DF859D99E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C651F77-48C2-49BB-822F-FA70C2FFF36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AAFB51C-AF8D-4D9D-B7EF-C84A1B7DEBD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0D67E471-C481-4D8E-8E87-02C1ACB429C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F952AB5-0310-4A78-BFAE-BE05CA22F9F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2A2AF43C-E7BD-4E43-A180-6B79C68A5B6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17F495E-69B6-456E-B18D-A2430400717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<sst xmlns="http://schemas.openxmlformats.org/spreadsheetml/2006/main" count="1102" uniqueCount="271">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</sst>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3501519</v>
      </c>
    </row>
    <row r="8" spans="1:3" ht="15" customHeight="1" x14ac:dyDescent="0.25">
      <c r="B8" s="7" t="s">
        <v>106</v>
      </c>
      <c r="C8" s="70">
        <v>4.8000000000000001E-2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0.63021438598632795</v>
      </c>
    </row>
    <row r="11" spans="1:3" ht="15" customHeight="1" x14ac:dyDescent="0.25">
      <c r="B11" s="7" t="s">
        <v>108</v>
      </c>
      <c r="C11" s="70">
        <v>0.55299999999999994</v>
      </c>
    </row>
    <row r="12" spans="1:3" ht="15" customHeight="1" x14ac:dyDescent="0.25">
      <c r="B12" s="7" t="s">
        <v>109</v>
      </c>
      <c r="C12" s="70">
        <v>0.70099999999999996</v>
      </c>
    </row>
    <row r="13" spans="1:3" ht="15" customHeight="1" x14ac:dyDescent="0.25">
      <c r="B13" s="7" t="s">
        <v>110</v>
      </c>
      <c r="C13" s="70">
        <v>0.252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6.9099999999999995E-2</v>
      </c>
    </row>
    <row r="24" spans="1:3" ht="15" customHeight="1" x14ac:dyDescent="0.25">
      <c r="B24" s="20" t="s">
        <v>102</v>
      </c>
      <c r="C24" s="71">
        <v>0.43239999999999995</v>
      </c>
    </row>
    <row r="25" spans="1:3" ht="15" customHeight="1" x14ac:dyDescent="0.25">
      <c r="B25" s="20" t="s">
        <v>103</v>
      </c>
      <c r="C25" s="71">
        <v>0.39429999999999998</v>
      </c>
    </row>
    <row r="26" spans="1:3" ht="15" customHeight="1" x14ac:dyDescent="0.25">
      <c r="B26" s="20" t="s">
        <v>104</v>
      </c>
      <c r="C26" s="71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0.27300000000000002</v>
      </c>
    </row>
    <row r="30" spans="1:3" ht="14.25" customHeight="1" x14ac:dyDescent="0.25">
      <c r="B30" s="30" t="s">
        <v>76</v>
      </c>
      <c r="C30" s="73">
        <v>5.2000000000000005E-2</v>
      </c>
    </row>
    <row r="31" spans="1:3" ht="14.25" customHeight="1" x14ac:dyDescent="0.25">
      <c r="B31" s="30" t="s">
        <v>77</v>
      </c>
      <c r="C31" s="73">
        <v>8.5999999999999993E-2</v>
      </c>
    </row>
    <row r="32" spans="1:3" ht="14.25" customHeight="1" x14ac:dyDescent="0.25">
      <c r="B32" s="30" t="s">
        <v>78</v>
      </c>
      <c r="C32" s="73">
        <v>0.58900000001490116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14.4</v>
      </c>
    </row>
    <row r="38" spans="1:5" ht="15" customHeight="1" x14ac:dyDescent="0.25">
      <c r="B38" s="16" t="s">
        <v>91</v>
      </c>
      <c r="C38" s="75">
        <v>20</v>
      </c>
      <c r="D38" s="17"/>
      <c r="E38" s="18"/>
    </row>
    <row r="39" spans="1:5" ht="15" customHeight="1" x14ac:dyDescent="0.25">
      <c r="B39" s="16" t="s">
        <v>90</v>
      </c>
      <c r="C39" s="75">
        <v>23.3</v>
      </c>
      <c r="D39" s="17"/>
      <c r="E39" s="17"/>
    </row>
    <row r="40" spans="1:5" ht="15" customHeight="1" x14ac:dyDescent="0.25">
      <c r="B40" s="16" t="s">
        <v>171</v>
      </c>
      <c r="C40" s="75">
        <v>1.21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1.0700000000000001E-2</v>
      </c>
      <c r="D45" s="17"/>
    </row>
    <row r="46" spans="1:5" ht="15.75" customHeight="1" x14ac:dyDescent="0.25">
      <c r="B46" s="16" t="s">
        <v>11</v>
      </c>
      <c r="C46" s="71">
        <v>5.5999999999999994E-2</v>
      </c>
      <c r="D46" s="17"/>
    </row>
    <row r="47" spans="1:5" ht="15.75" customHeight="1" x14ac:dyDescent="0.25">
      <c r="B47" s="16" t="s">
        <v>12</v>
      </c>
      <c r="C47" s="71">
        <v>6.5500000000000003E-2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3.6014620729974993</v>
      </c>
      <c r="D51" s="17"/>
    </row>
    <row r="52" spans="1:4" ht="15" customHeight="1" x14ac:dyDescent="0.25">
      <c r="B52" s="16" t="s">
        <v>125</v>
      </c>
      <c r="C52" s="76">
        <v>2.85698421254</v>
      </c>
    </row>
    <row r="53" spans="1:4" ht="15.75" customHeight="1" x14ac:dyDescent="0.25">
      <c r="B53" s="16" t="s">
        <v>126</v>
      </c>
      <c r="C53" s="76">
        <v>2.85698421254</v>
      </c>
    </row>
    <row r="54" spans="1:4" ht="15.75" customHeight="1" x14ac:dyDescent="0.25">
      <c r="B54" s="16" t="s">
        <v>127</v>
      </c>
      <c r="C54" s="76">
        <v>1.75077347098</v>
      </c>
    </row>
    <row r="55" spans="1:4" ht="15.75" customHeight="1" x14ac:dyDescent="0.25">
      <c r="B55" s="16" t="s">
        <v>128</v>
      </c>
      <c r="C55" s="76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0.47512804950234033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50.04836698295685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39.701244624562811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289.27755605473601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0.78090712367985393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1.3007103390447048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1.3007103390447048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1.3007103390447048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1.3007103390447048</v>
      </c>
      <c r="E13" s="86" t="s">
        <v>202</v>
      </c>
    </row>
    <row r="14" spans="1:5" ht="15.75" customHeight="1" x14ac:dyDescent="0.25">
      <c r="A14" s="11" t="s">
        <v>187</v>
      </c>
      <c r="B14" s="85">
        <v>5.2000000000000005E-2</v>
      </c>
      <c r="C14" s="85">
        <v>0.95</v>
      </c>
      <c r="D14" s="86">
        <v>12.833544068358723</v>
      </c>
      <c r="E14" s="86" t="s">
        <v>202</v>
      </c>
    </row>
    <row r="15" spans="1:5" ht="15.75" customHeight="1" x14ac:dyDescent="0.25">
      <c r="A15" s="11" t="s">
        <v>209</v>
      </c>
      <c r="B15" s="85">
        <v>5.2000000000000005E-2</v>
      </c>
      <c r="C15" s="85">
        <v>0.95</v>
      </c>
      <c r="D15" s="86">
        <v>12.833544068358723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0.54030986825407035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0.223</v>
      </c>
      <c r="C18" s="85">
        <v>0.95</v>
      </c>
      <c r="D18" s="87">
        <v>6.7065442721728772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6.7065442721728772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6.7065442721728772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10.934248210384355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22.05293698426788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4.1676905525779402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18.396567802508997</v>
      </c>
      <c r="E24" s="86" t="s">
        <v>202</v>
      </c>
    </row>
    <row r="25" spans="1:5" ht="15.75" customHeight="1" x14ac:dyDescent="0.25">
      <c r="A25" s="52" t="s">
        <v>87</v>
      </c>
      <c r="B25" s="85">
        <v>3.7000000000000005E-2</v>
      </c>
      <c r="C25" s="85">
        <v>0.95</v>
      </c>
      <c r="D25" s="86">
        <v>18.394255338497224</v>
      </c>
      <c r="E25" s="86" t="s">
        <v>202</v>
      </c>
    </row>
    <row r="26" spans="1:5" ht="15.75" customHeight="1" x14ac:dyDescent="0.25">
      <c r="A26" s="52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6.0974843178803413</v>
      </c>
      <c r="E27" s="86" t="s">
        <v>202</v>
      </c>
    </row>
    <row r="28" spans="1:5" ht="15.75" customHeight="1" x14ac:dyDescent="0.25">
      <c r="A28" s="52" t="s">
        <v>84</v>
      </c>
      <c r="B28" s="85">
        <v>0.22899999999999998</v>
      </c>
      <c r="C28" s="85">
        <v>0.95</v>
      </c>
      <c r="D28" s="86">
        <v>1.5189147016208495</v>
      </c>
      <c r="E28" s="86" t="s">
        <v>202</v>
      </c>
    </row>
    <row r="29" spans="1:5" ht="15.75" customHeight="1" x14ac:dyDescent="0.25">
      <c r="A29" s="52" t="s">
        <v>58</v>
      </c>
      <c r="B29" s="85">
        <v>0.223</v>
      </c>
      <c r="C29" s="85">
        <v>0.95</v>
      </c>
      <c r="D29" s="86">
        <v>95.432494803225381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0.78911240795034354</v>
      </c>
      <c r="E30" s="86" t="s">
        <v>202</v>
      </c>
    </row>
    <row r="31" spans="1:5" ht="15.75" customHeight="1" x14ac:dyDescent="0.25">
      <c r="A31" s="52" t="s">
        <v>28</v>
      </c>
      <c r="B31" s="85">
        <v>0.33250000000000002</v>
      </c>
      <c r="C31" s="85">
        <v>0.95</v>
      </c>
      <c r="D31" s="86">
        <v>1.141754871233807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0.41899999999999998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0.76700000000000002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0.85400000000000009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0.63800000000000001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3.7489377776772863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1.1628773536972519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7.66496926E-2</v>
      </c>
      <c r="C3" s="26">
        <f>frac_mam_1_5months * 2.6</f>
        <v>7.66496926E-2</v>
      </c>
      <c r="D3" s="26">
        <f>frac_mam_6_11months * 2.6</f>
        <v>4.7401197739999998E-2</v>
      </c>
      <c r="E3" s="26">
        <f>frac_mam_12_23months * 2.6</f>
        <v>3.4973452799999999E-2</v>
      </c>
      <c r="F3" s="26">
        <f>frac_mam_24_59months * 2.6</f>
        <v>2.4476965326666673E-2</v>
      </c>
    </row>
    <row r="4" spans="1:6" ht="15.75" customHeight="1" x14ac:dyDescent="0.25">
      <c r="A4" s="3" t="s">
        <v>66</v>
      </c>
      <c r="B4" s="26">
        <f>frac_sam_1month * 2.6</f>
        <v>7.1333490799999996E-2</v>
      </c>
      <c r="C4" s="26">
        <f>frac_sam_1_5months * 2.6</f>
        <v>7.1333490799999996E-2</v>
      </c>
      <c r="D4" s="26">
        <f>frac_sam_6_11months * 2.6</f>
        <v>1.5737178860000003E-2</v>
      </c>
      <c r="E4" s="26">
        <f>frac_sam_12_23months * 2.6</f>
        <v>2.82921002E-2</v>
      </c>
      <c r="F4" s="26">
        <f>frac_sam_24_59months * 2.6</f>
        <v>1.6991723406666669E-2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696921.81</v>
      </c>
      <c r="C2" s="78">
        <v>1430865</v>
      </c>
      <c r="D2" s="78">
        <v>2972265</v>
      </c>
      <c r="E2" s="78">
        <v>2826463</v>
      </c>
      <c r="F2" s="78">
        <v>2225391</v>
      </c>
      <c r="G2" s="22">
        <f t="shared" ref="G2:G40" si="0">C2+D2+E2+F2</f>
        <v>9454984</v>
      </c>
      <c r="H2" s="22">
        <f t="shared" ref="H2:H40" si="1">(B2 + stillbirth*B2/(1000-stillbirth))/(1-abortion)</f>
        <v>821178.42308983905</v>
      </c>
      <c r="I2" s="22">
        <f>G2-H2</f>
        <v>8633805.5769101605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689481.728</v>
      </c>
      <c r="C3" s="78">
        <v>1438000</v>
      </c>
      <c r="D3" s="78">
        <v>2952000</v>
      </c>
      <c r="E3" s="78">
        <v>2866000</v>
      </c>
      <c r="F3" s="78">
        <v>2271000</v>
      </c>
      <c r="G3" s="22">
        <f t="shared" si="0"/>
        <v>9527000</v>
      </c>
      <c r="H3" s="22">
        <f t="shared" si="1"/>
        <v>812411.82299675385</v>
      </c>
      <c r="I3" s="22">
        <f t="shared" ref="I3:I15" si="3">G3-H3</f>
        <v>8714588.1770032458</v>
      </c>
    </row>
    <row r="4" spans="1:9" ht="15.75" customHeight="1" x14ac:dyDescent="0.25">
      <c r="A4" s="7">
        <f t="shared" si="2"/>
        <v>2019</v>
      </c>
      <c r="B4" s="77">
        <v>681459.8466666668</v>
      </c>
      <c r="C4" s="78">
        <v>1447000</v>
      </c>
      <c r="D4" s="78">
        <v>2928000</v>
      </c>
      <c r="E4" s="78">
        <v>2897000</v>
      </c>
      <c r="F4" s="78">
        <v>2322000</v>
      </c>
      <c r="G4" s="22">
        <f t="shared" si="0"/>
        <v>9594000</v>
      </c>
      <c r="H4" s="22">
        <f t="shared" si="1"/>
        <v>802959.6925439554</v>
      </c>
      <c r="I4" s="22">
        <f t="shared" si="3"/>
        <v>8791040.3074560445</v>
      </c>
    </row>
    <row r="5" spans="1:9" ht="15.75" customHeight="1" x14ac:dyDescent="0.25">
      <c r="A5" s="7">
        <f t="shared" si="2"/>
        <v>2020</v>
      </c>
      <c r="B5" s="77">
        <v>672912.79200000002</v>
      </c>
      <c r="C5" s="78">
        <v>1455000</v>
      </c>
      <c r="D5" s="78">
        <v>2902000</v>
      </c>
      <c r="E5" s="78">
        <v>2920000</v>
      </c>
      <c r="F5" s="78">
        <v>2376000</v>
      </c>
      <c r="G5" s="22">
        <f t="shared" si="0"/>
        <v>9653000</v>
      </c>
      <c r="H5" s="22">
        <f t="shared" si="1"/>
        <v>792888.7537779035</v>
      </c>
      <c r="I5" s="22">
        <f t="shared" si="3"/>
        <v>8860111.2462220974</v>
      </c>
    </row>
    <row r="6" spans="1:9" ht="15.75" customHeight="1" x14ac:dyDescent="0.25">
      <c r="A6" s="7">
        <f t="shared" si="2"/>
        <v>2021</v>
      </c>
      <c r="B6" s="77">
        <v>666871.93160000001</v>
      </c>
      <c r="C6" s="78">
        <v>1463000</v>
      </c>
      <c r="D6" s="78">
        <v>2881000</v>
      </c>
      <c r="E6" s="78">
        <v>2940000</v>
      </c>
      <c r="F6" s="78">
        <v>2439000</v>
      </c>
      <c r="G6" s="22">
        <f t="shared" si="0"/>
        <v>9723000</v>
      </c>
      <c r="H6" s="22">
        <f t="shared" si="1"/>
        <v>785770.84736975445</v>
      </c>
      <c r="I6" s="22">
        <f t="shared" si="3"/>
        <v>8937229.1526302453</v>
      </c>
    </row>
    <row r="7" spans="1:9" ht="15.75" customHeight="1" x14ac:dyDescent="0.25">
      <c r="A7" s="7">
        <f t="shared" si="2"/>
        <v>2022</v>
      </c>
      <c r="B7" s="77">
        <v>660325.38960000011</v>
      </c>
      <c r="C7" s="78">
        <v>1468000</v>
      </c>
      <c r="D7" s="78">
        <v>2857000</v>
      </c>
      <c r="E7" s="78">
        <v>2949000</v>
      </c>
      <c r="F7" s="78">
        <v>2504000</v>
      </c>
      <c r="G7" s="22">
        <f t="shared" si="0"/>
        <v>9778000</v>
      </c>
      <c r="H7" s="22">
        <f t="shared" si="1"/>
        <v>778057.09963060508</v>
      </c>
      <c r="I7" s="22">
        <f t="shared" si="3"/>
        <v>8999942.9003693946</v>
      </c>
    </row>
    <row r="8" spans="1:9" ht="15.75" customHeight="1" x14ac:dyDescent="0.25">
      <c r="A8" s="7">
        <f t="shared" si="2"/>
        <v>2023</v>
      </c>
      <c r="B8" s="77">
        <v>653302.35200000007</v>
      </c>
      <c r="C8" s="78">
        <v>1475000</v>
      </c>
      <c r="D8" s="78">
        <v>2834000</v>
      </c>
      <c r="E8" s="78">
        <v>2950000</v>
      </c>
      <c r="F8" s="78">
        <v>2569000</v>
      </c>
      <c r="G8" s="22">
        <f t="shared" si="0"/>
        <v>9828000</v>
      </c>
      <c r="H8" s="22">
        <f t="shared" si="1"/>
        <v>769781.90023389144</v>
      </c>
      <c r="I8" s="22">
        <f t="shared" si="3"/>
        <v>9058218.0997661091</v>
      </c>
    </row>
    <row r="9" spans="1:9" ht="15.75" customHeight="1" x14ac:dyDescent="0.25">
      <c r="A9" s="7">
        <f t="shared" si="2"/>
        <v>2024</v>
      </c>
      <c r="B9" s="77">
        <v>645797.17200000025</v>
      </c>
      <c r="C9" s="78">
        <v>1488000</v>
      </c>
      <c r="D9" s="78">
        <v>2815000</v>
      </c>
      <c r="E9" s="78">
        <v>2944000</v>
      </c>
      <c r="F9" s="78">
        <v>2633000</v>
      </c>
      <c r="G9" s="22">
        <f t="shared" si="0"/>
        <v>9880000</v>
      </c>
      <c r="H9" s="22">
        <f t="shared" si="1"/>
        <v>760938.59559200448</v>
      </c>
      <c r="I9" s="22">
        <f t="shared" si="3"/>
        <v>9119061.4044079948</v>
      </c>
    </row>
    <row r="10" spans="1:9" ht="15.75" customHeight="1" x14ac:dyDescent="0.25">
      <c r="A10" s="7">
        <f t="shared" si="2"/>
        <v>2025</v>
      </c>
      <c r="B10" s="77">
        <v>637854.61300000001</v>
      </c>
      <c r="C10" s="78">
        <v>1509000</v>
      </c>
      <c r="D10" s="78">
        <v>2804000</v>
      </c>
      <c r="E10" s="78">
        <v>2934000</v>
      </c>
      <c r="F10" s="78">
        <v>2691000</v>
      </c>
      <c r="G10" s="22">
        <f t="shared" si="0"/>
        <v>9938000</v>
      </c>
      <c r="H10" s="22">
        <f t="shared" si="1"/>
        <v>751579.93012719683</v>
      </c>
      <c r="I10" s="22">
        <f t="shared" si="3"/>
        <v>9186420.069872804</v>
      </c>
    </row>
    <row r="11" spans="1:9" ht="15.75" customHeight="1" x14ac:dyDescent="0.25">
      <c r="A11" s="7">
        <f t="shared" si="2"/>
        <v>2026</v>
      </c>
      <c r="B11" s="77">
        <v>632973.97439999995</v>
      </c>
      <c r="C11" s="78">
        <v>1533000</v>
      </c>
      <c r="D11" s="78">
        <v>2804000</v>
      </c>
      <c r="E11" s="78">
        <v>2920000</v>
      </c>
      <c r="F11" s="78">
        <v>2741000</v>
      </c>
      <c r="G11" s="22">
        <f t="shared" si="0"/>
        <v>9998000</v>
      </c>
      <c r="H11" s="22">
        <f t="shared" si="1"/>
        <v>745829.10549850645</v>
      </c>
      <c r="I11" s="22">
        <f t="shared" si="3"/>
        <v>9252170.8945014942</v>
      </c>
    </row>
    <row r="12" spans="1:9" ht="15.75" customHeight="1" x14ac:dyDescent="0.25">
      <c r="A12" s="7">
        <f t="shared" si="2"/>
        <v>2027</v>
      </c>
      <c r="B12" s="77">
        <v>627711.07200000004</v>
      </c>
      <c r="C12" s="78">
        <v>1565000</v>
      </c>
      <c r="D12" s="78">
        <v>2812000</v>
      </c>
      <c r="E12" s="78">
        <v>2902000</v>
      </c>
      <c r="F12" s="78">
        <v>2786000</v>
      </c>
      <c r="G12" s="22">
        <f t="shared" si="0"/>
        <v>10065000</v>
      </c>
      <c r="H12" s="22">
        <f t="shared" si="1"/>
        <v>739627.86192757043</v>
      </c>
      <c r="I12" s="22">
        <f t="shared" si="3"/>
        <v>9325372.1380724292</v>
      </c>
    </row>
    <row r="13" spans="1:9" ht="15.75" customHeight="1" x14ac:dyDescent="0.25">
      <c r="A13" s="7">
        <f t="shared" si="2"/>
        <v>2028</v>
      </c>
      <c r="B13" s="77">
        <v>622090.57679999992</v>
      </c>
      <c r="C13" s="78">
        <v>1600000</v>
      </c>
      <c r="D13" s="78">
        <v>2825000</v>
      </c>
      <c r="E13" s="78">
        <v>2881000</v>
      </c>
      <c r="F13" s="78">
        <v>2824000</v>
      </c>
      <c r="G13" s="22">
        <f t="shared" si="0"/>
        <v>10130000</v>
      </c>
      <c r="H13" s="22">
        <f t="shared" si="1"/>
        <v>733005.26909277285</v>
      </c>
      <c r="I13" s="22">
        <f t="shared" si="3"/>
        <v>9396994.7309072278</v>
      </c>
    </row>
    <row r="14" spans="1:9" ht="15.75" customHeight="1" x14ac:dyDescent="0.25">
      <c r="A14" s="7">
        <f t="shared" si="2"/>
        <v>2029</v>
      </c>
      <c r="B14" s="77">
        <v>616136.04539999994</v>
      </c>
      <c r="C14" s="78">
        <v>1628000</v>
      </c>
      <c r="D14" s="78">
        <v>2846000</v>
      </c>
      <c r="E14" s="78">
        <v>2858000</v>
      </c>
      <c r="F14" s="78">
        <v>2855000</v>
      </c>
      <c r="G14" s="22">
        <f t="shared" si="0"/>
        <v>10187000</v>
      </c>
      <c r="H14" s="22">
        <f t="shared" si="1"/>
        <v>725989.08358224784</v>
      </c>
      <c r="I14" s="22">
        <f t="shared" si="3"/>
        <v>9461010.9164177515</v>
      </c>
    </row>
    <row r="15" spans="1:9" ht="15.75" customHeight="1" x14ac:dyDescent="0.25">
      <c r="A15" s="7">
        <f t="shared" si="2"/>
        <v>2030</v>
      </c>
      <c r="B15" s="77">
        <v>609840.07999999996</v>
      </c>
      <c r="C15" s="78">
        <v>1646000</v>
      </c>
      <c r="D15" s="78">
        <v>2871000</v>
      </c>
      <c r="E15" s="78">
        <v>2832000</v>
      </c>
      <c r="F15" s="78">
        <v>2878000</v>
      </c>
      <c r="G15" s="22">
        <f t="shared" si="0"/>
        <v>10227000</v>
      </c>
      <c r="H15" s="22">
        <f t="shared" si="1"/>
        <v>718570.58861650666</v>
      </c>
      <c r="I15" s="22">
        <f t="shared" si="3"/>
        <v>9508429.4113834929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129.61228253121004</v>
      </c>
      <c r="I17" s="22">
        <f t="shared" si="4"/>
        <v>-129.61228253121004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1.7084093250000001E-2</v>
      </c>
    </row>
    <row r="4" spans="1:8" ht="15.75" customHeight="1" x14ac:dyDescent="0.25">
      <c r="B4" s="24" t="s">
        <v>7</v>
      </c>
      <c r="C4" s="79">
        <v>2.7447607768341223E-2</v>
      </c>
    </row>
    <row r="5" spans="1:8" ht="15.75" customHeight="1" x14ac:dyDescent="0.25">
      <c r="B5" s="24" t="s">
        <v>8</v>
      </c>
      <c r="C5" s="79">
        <v>6.6750921026432625E-2</v>
      </c>
    </row>
    <row r="6" spans="1:8" ht="15.75" customHeight="1" x14ac:dyDescent="0.25">
      <c r="B6" s="24" t="s">
        <v>10</v>
      </c>
      <c r="C6" s="79">
        <v>5.33252552088328E-2</v>
      </c>
    </row>
    <row r="7" spans="1:8" ht="15.75" customHeight="1" x14ac:dyDescent="0.25">
      <c r="B7" s="24" t="s">
        <v>13</v>
      </c>
      <c r="C7" s="79">
        <v>0.35036205590840225</v>
      </c>
    </row>
    <row r="8" spans="1:8" ht="15.75" customHeight="1" x14ac:dyDescent="0.25">
      <c r="B8" s="24" t="s">
        <v>14</v>
      </c>
      <c r="C8" s="79">
        <v>1.6917973182787316E-2</v>
      </c>
    </row>
    <row r="9" spans="1:8" ht="15.75" customHeight="1" x14ac:dyDescent="0.25">
      <c r="B9" s="24" t="s">
        <v>27</v>
      </c>
      <c r="C9" s="79">
        <v>0.28183436757680375</v>
      </c>
    </row>
    <row r="10" spans="1:8" ht="15.75" customHeight="1" x14ac:dyDescent="0.25">
      <c r="B10" s="24" t="s">
        <v>15</v>
      </c>
      <c r="C10" s="79">
        <v>0.1862777260784001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0.119475298828527</v>
      </c>
      <c r="D14" s="79">
        <v>0.119475298828527</v>
      </c>
      <c r="E14" s="79">
        <v>9.8815632267225395E-2</v>
      </c>
      <c r="F14" s="79">
        <v>9.8815632267225395E-2</v>
      </c>
    </row>
    <row r="15" spans="1:8" ht="15.75" customHeight="1" x14ac:dyDescent="0.25">
      <c r="B15" s="24" t="s">
        <v>16</v>
      </c>
      <c r="C15" s="79">
        <v>0.12924084495739699</v>
      </c>
      <c r="D15" s="79">
        <v>0.12924084495739699</v>
      </c>
      <c r="E15" s="79">
        <v>6.9267810374554095E-2</v>
      </c>
      <c r="F15" s="79">
        <v>6.9267810374554095E-2</v>
      </c>
    </row>
    <row r="16" spans="1:8" ht="15.75" customHeight="1" x14ac:dyDescent="0.25">
      <c r="B16" s="24" t="s">
        <v>17</v>
      </c>
      <c r="C16" s="79">
        <v>4.9647975600913101E-2</v>
      </c>
      <c r="D16" s="79">
        <v>4.9647975600913101E-2</v>
      </c>
      <c r="E16" s="79">
        <v>5.1099762654976309E-2</v>
      </c>
      <c r="F16" s="79">
        <v>5.1099762654976309E-2</v>
      </c>
    </row>
    <row r="17" spans="1:8" ht="15.75" customHeight="1" x14ac:dyDescent="0.25">
      <c r="B17" s="24" t="s">
        <v>18</v>
      </c>
      <c r="C17" s="79">
        <v>4.9674618389856798E-3</v>
      </c>
      <c r="D17" s="79">
        <v>4.9674618389856798E-3</v>
      </c>
      <c r="E17" s="79">
        <v>2.20729962793055E-2</v>
      </c>
      <c r="F17" s="79">
        <v>2.20729962793055E-2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2.24003105372674E-2</v>
      </c>
      <c r="D19" s="79">
        <v>2.24003105372674E-2</v>
      </c>
      <c r="E19" s="79">
        <v>4.2045989717004503E-2</v>
      </c>
      <c r="F19" s="79">
        <v>4.2045989717004503E-2</v>
      </c>
    </row>
    <row r="20" spans="1:8" ht="15.75" customHeight="1" x14ac:dyDescent="0.25">
      <c r="B20" s="24" t="s">
        <v>21</v>
      </c>
      <c r="C20" s="79">
        <v>5.39921672972863E-3</v>
      </c>
      <c r="D20" s="79">
        <v>5.39921672972863E-3</v>
      </c>
      <c r="E20" s="79">
        <v>4.7870630730868703E-2</v>
      </c>
      <c r="F20" s="79">
        <v>4.7870630730868703E-2</v>
      </c>
    </row>
    <row r="21" spans="1:8" ht="15.75" customHeight="1" x14ac:dyDescent="0.25">
      <c r="B21" s="24" t="s">
        <v>22</v>
      </c>
      <c r="C21" s="79">
        <v>5.7530808182722097E-2</v>
      </c>
      <c r="D21" s="79">
        <v>5.7530808182722097E-2</v>
      </c>
      <c r="E21" s="79">
        <v>0.216845352593899</v>
      </c>
      <c r="F21" s="79">
        <v>0.216845352593899</v>
      </c>
    </row>
    <row r="22" spans="1:8" ht="15.75" customHeight="1" x14ac:dyDescent="0.25">
      <c r="B22" s="24" t="s">
        <v>23</v>
      </c>
      <c r="C22" s="79">
        <v>0.61133808332445905</v>
      </c>
      <c r="D22" s="79">
        <v>0.61133808332445905</v>
      </c>
      <c r="E22" s="79">
        <v>0.45198182538216647</v>
      </c>
      <c r="F22" s="79">
        <v>0.45198182538216647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2.9399999999999999E-2</v>
      </c>
    </row>
    <row r="27" spans="1:8" ht="15.75" customHeight="1" x14ac:dyDescent="0.25">
      <c r="B27" s="24" t="s">
        <v>39</v>
      </c>
      <c r="C27" s="79">
        <v>9.4999999999999998E-3</v>
      </c>
    </row>
    <row r="28" spans="1:8" ht="15.75" customHeight="1" x14ac:dyDescent="0.25">
      <c r="B28" s="24" t="s">
        <v>40</v>
      </c>
      <c r="C28" s="79">
        <v>0.26789999999999997</v>
      </c>
    </row>
    <row r="29" spans="1:8" ht="15.75" customHeight="1" x14ac:dyDescent="0.25">
      <c r="B29" s="24" t="s">
        <v>41</v>
      </c>
      <c r="C29" s="79">
        <v>0.15310000000000001</v>
      </c>
    </row>
    <row r="30" spans="1:8" ht="15.75" customHeight="1" x14ac:dyDescent="0.25">
      <c r="B30" s="24" t="s">
        <v>42</v>
      </c>
      <c r="C30" s="79">
        <v>8.199999999999999E-2</v>
      </c>
    </row>
    <row r="31" spans="1:8" ht="15.75" customHeight="1" x14ac:dyDescent="0.25">
      <c r="B31" s="24" t="s">
        <v>43</v>
      </c>
      <c r="C31" s="79">
        <v>7.4000000000000003E-3</v>
      </c>
    </row>
    <row r="32" spans="1:8" ht="15.75" customHeight="1" x14ac:dyDescent="0.25">
      <c r="B32" s="24" t="s">
        <v>44</v>
      </c>
      <c r="C32" s="79">
        <v>1.1599999999999999E-2</v>
      </c>
    </row>
    <row r="33" spans="2:3" ht="15.75" customHeight="1" x14ac:dyDescent="0.25">
      <c r="B33" s="24" t="s">
        <v>45</v>
      </c>
      <c r="C33" s="79">
        <v>0.2495</v>
      </c>
    </row>
    <row r="34" spans="2:3" ht="15.75" customHeight="1" x14ac:dyDescent="0.25">
      <c r="B34" s="24" t="s">
        <v>46</v>
      </c>
      <c r="C34" s="79">
        <v>0.18959999999552968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0.70927864887242009</v>
      </c>
      <c r="D2" s="80">
        <v>0.70927864887242009</v>
      </c>
      <c r="E2" s="80">
        <v>0.68426394721461492</v>
      </c>
      <c r="F2" s="80">
        <v>0.63877103609791031</v>
      </c>
      <c r="G2" s="80">
        <v>0.5392789318657305</v>
      </c>
    </row>
    <row r="3" spans="1:15" ht="15.75" customHeight="1" x14ac:dyDescent="0.25">
      <c r="A3" s="5"/>
      <c r="B3" s="11" t="s">
        <v>118</v>
      </c>
      <c r="C3" s="80">
        <v>0.16949276692993903</v>
      </c>
      <c r="D3" s="80">
        <v>0.16949276692993903</v>
      </c>
      <c r="E3" s="80">
        <v>0.18225211991202658</v>
      </c>
      <c r="F3" s="80">
        <v>0.20224065675764286</v>
      </c>
      <c r="G3" s="80">
        <v>0.28461943626246888</v>
      </c>
    </row>
    <row r="4" spans="1:15" ht="15.75" customHeight="1" x14ac:dyDescent="0.25">
      <c r="A4" s="5"/>
      <c r="B4" s="11" t="s">
        <v>116</v>
      </c>
      <c r="C4" s="81">
        <v>7.4856994613843778E-2</v>
      </c>
      <c r="D4" s="81">
        <v>7.4856994613843778E-2</v>
      </c>
      <c r="E4" s="81">
        <v>7.7175574093033605E-2</v>
      </c>
      <c r="F4" s="81">
        <v>7.91629279323392E-2</v>
      </c>
      <c r="G4" s="81">
        <v>9.6276252659692849E-2</v>
      </c>
    </row>
    <row r="5" spans="1:15" ht="15.75" customHeight="1" x14ac:dyDescent="0.25">
      <c r="A5" s="5"/>
      <c r="B5" s="11" t="s">
        <v>119</v>
      </c>
      <c r="C5" s="81">
        <v>4.6371589583797022E-2</v>
      </c>
      <c r="D5" s="81">
        <v>4.6371589583797022E-2</v>
      </c>
      <c r="E5" s="81">
        <v>5.630835878032496E-2</v>
      </c>
      <c r="F5" s="81">
        <v>7.9825379212107736E-2</v>
      </c>
      <c r="G5" s="81">
        <v>7.9825379212107736E-2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0.8298236734126041</v>
      </c>
      <c r="D8" s="80">
        <v>0.8298236734126041</v>
      </c>
      <c r="E8" s="80">
        <v>0.87963894028008749</v>
      </c>
      <c r="F8" s="80">
        <v>0.8789325109541577</v>
      </c>
      <c r="G8" s="80">
        <v>0.86407119228374341</v>
      </c>
    </row>
    <row r="9" spans="1:15" ht="15.75" customHeight="1" x14ac:dyDescent="0.25">
      <c r="B9" s="7" t="s">
        <v>121</v>
      </c>
      <c r="C9" s="80">
        <v>0.11325971758739595</v>
      </c>
      <c r="D9" s="80">
        <v>0.11325971758739595</v>
      </c>
      <c r="E9" s="80">
        <v>9.6077068719912465E-2</v>
      </c>
      <c r="F9" s="80">
        <v>9.6734584045842231E-2</v>
      </c>
      <c r="G9" s="80">
        <v>0.11997931204958985</v>
      </c>
    </row>
    <row r="10" spans="1:15" ht="15.75" customHeight="1" x14ac:dyDescent="0.25">
      <c r="B10" s="7" t="s">
        <v>122</v>
      </c>
      <c r="C10" s="81">
        <v>2.9480650999999997E-2</v>
      </c>
      <c r="D10" s="81">
        <v>2.9480650999999997E-2</v>
      </c>
      <c r="E10" s="81">
        <v>1.82312299E-2</v>
      </c>
      <c r="F10" s="81">
        <v>1.3451328E-2</v>
      </c>
      <c r="G10" s="81">
        <v>9.4142174333333353E-3</v>
      </c>
    </row>
    <row r="11" spans="1:15" ht="15.75" customHeight="1" x14ac:dyDescent="0.25">
      <c r="B11" s="7" t="s">
        <v>123</v>
      </c>
      <c r="C11" s="81">
        <v>2.7435958E-2</v>
      </c>
      <c r="D11" s="81">
        <v>2.7435958E-2</v>
      </c>
      <c r="E11" s="81">
        <v>6.0527611000000007E-3</v>
      </c>
      <c r="F11" s="81">
        <v>1.0881577E-2</v>
      </c>
      <c r="G11" s="81">
        <v>6.5352782333333338E-3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0.36986040149999999</v>
      </c>
      <c r="D14" s="82">
        <v>0.397561844474</v>
      </c>
      <c r="E14" s="82">
        <v>0.397561844474</v>
      </c>
      <c r="F14" s="82">
        <v>0.34443006445199997</v>
      </c>
      <c r="G14" s="82">
        <v>0.34443006445199997</v>
      </c>
      <c r="H14" s="83">
        <v>0.40399999999999997</v>
      </c>
      <c r="I14" s="83">
        <v>0.40399999999999997</v>
      </c>
      <c r="J14" s="83">
        <v>0.40399999999999997</v>
      </c>
      <c r="K14" s="83">
        <v>0.40399999999999997</v>
      </c>
      <c r="L14" s="83">
        <v>0.210140713397</v>
      </c>
      <c r="M14" s="83">
        <v>0.18930381858650003</v>
      </c>
      <c r="N14" s="83">
        <v>0.20253369092949999</v>
      </c>
      <c r="O14" s="83">
        <v>0.21808470395250001</v>
      </c>
    </row>
    <row r="15" spans="1:15" ht="15.75" customHeight="1" x14ac:dyDescent="0.25">
      <c r="B15" s="16" t="s">
        <v>68</v>
      </c>
      <c r="C15" s="80">
        <f>iron_deficiency_anaemia*C14</f>
        <v>0.17573105115284746</v>
      </c>
      <c r="D15" s="80">
        <f t="shared" ref="D15:O15" si="0">iron_deficiency_anaemia*D14</f>
        <v>0.18889278372148441</v>
      </c>
      <c r="E15" s="80">
        <f t="shared" si="0"/>
        <v>0.18889278372148441</v>
      </c>
      <c r="F15" s="80">
        <f t="shared" si="0"/>
        <v>0.1636483847130441</v>
      </c>
      <c r="G15" s="80">
        <f t="shared" si="0"/>
        <v>0.1636483847130441</v>
      </c>
      <c r="H15" s="80">
        <f t="shared" si="0"/>
        <v>0.19195173199894547</v>
      </c>
      <c r="I15" s="80">
        <f t="shared" si="0"/>
        <v>0.19195173199894547</v>
      </c>
      <c r="J15" s="80">
        <f t="shared" si="0"/>
        <v>0.19195173199894547</v>
      </c>
      <c r="K15" s="80">
        <f t="shared" si="0"/>
        <v>0.19195173199894547</v>
      </c>
      <c r="L15" s="80">
        <f t="shared" si="0"/>
        <v>9.984374727734692E-2</v>
      </c>
      <c r="M15" s="80">
        <f t="shared" si="0"/>
        <v>8.9943554088348643E-2</v>
      </c>
      <c r="N15" s="80">
        <f t="shared" si="0"/>
        <v>9.622943752984317E-2</v>
      </c>
      <c r="O15" s="80">
        <f t="shared" si="0"/>
        <v>0.10361816001524667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</v>
      </c>
      <c r="D2" s="81">
        <v>0.31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8.8000000000000009E-2</v>
      </c>
      <c r="D3" s="81">
        <v>0.155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0.18100000000000002</v>
      </c>
      <c r="D4" s="81">
        <v>0.18100000000000002</v>
      </c>
      <c r="E4" s="81">
        <v>0.49099999999999999</v>
      </c>
      <c r="F4" s="81">
        <v>0.66799999999999993</v>
      </c>
      <c r="G4" s="81">
        <v>0</v>
      </c>
    </row>
    <row r="5" spans="1:7" x14ac:dyDescent="0.25">
      <c r="B5" s="43" t="s">
        <v>169</v>
      </c>
      <c r="C5" s="80">
        <f>1-SUM(C2:C4)</f>
        <v>0.42099999999999993</v>
      </c>
      <c r="D5" s="80">
        <f>1-SUM(D2:D4)</f>
        <v>0.35399999999999998</v>
      </c>
      <c r="E5" s="80">
        <f>1-SUM(E2:E4)</f>
        <v>0.50900000000000001</v>
      </c>
      <c r="F5" s="80">
        <f>1-SUM(F2:F4)</f>
        <v>0.33200000000000007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0.16284999999999999</v>
      </c>
      <c r="D2" s="144">
        <v>0.15816</v>
      </c>
      <c r="E2" s="144">
        <v>0.15354999999999999</v>
      </c>
      <c r="F2" s="144">
        <v>0.14904999999999999</v>
      </c>
      <c r="G2" s="144">
        <v>0.14465</v>
      </c>
      <c r="H2" s="144">
        <v>0.1404</v>
      </c>
      <c r="I2" s="144">
        <v>0.13628999999999999</v>
      </c>
      <c r="J2" s="144">
        <v>0.1323</v>
      </c>
      <c r="K2" s="144">
        <v>0.12842999999999999</v>
      </c>
      <c r="L2" s="144">
        <v>0.12470000000000001</v>
      </c>
      <c r="M2" s="144">
        <v>0.12109</v>
      </c>
      <c r="N2" s="144">
        <v>0.11760999999999999</v>
      </c>
      <c r="O2" s="144">
        <v>0.11423999999999999</v>
      </c>
      <c r="P2" s="144">
        <v>0.11098000000000001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2.8410000000000001E-2</v>
      </c>
      <c r="D4" s="144">
        <v>2.6859999999999998E-2</v>
      </c>
      <c r="E4" s="144">
        <v>2.537E-2</v>
      </c>
      <c r="F4" s="144">
        <v>2.3980000000000001E-2</v>
      </c>
      <c r="G4" s="144">
        <v>2.265E-2</v>
      </c>
      <c r="H4" s="144">
        <v>2.1530000000000001E-2</v>
      </c>
      <c r="I4" s="144">
        <v>2.0480000000000002E-2</v>
      </c>
      <c r="J4" s="144">
        <v>1.949E-2</v>
      </c>
      <c r="K4" s="144">
        <v>1.856E-2</v>
      </c>
      <c r="L4" s="144">
        <v>1.7689999999999997E-2</v>
      </c>
      <c r="M4" s="144">
        <v>1.6890000000000002E-2</v>
      </c>
      <c r="N4" s="144">
        <v>1.6129999999999999E-2</v>
      </c>
      <c r="O4" s="144">
        <v>1.542E-2</v>
      </c>
      <c r="P4" s="144">
        <v>1.473E-2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0.16847790230525489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0.19195173199894547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9.706086436346055E-2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0.60899999999999999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19.734000000000002</v>
      </c>
      <c r="D13" s="143">
        <v>18.972000000000001</v>
      </c>
      <c r="E13" s="143">
        <v>18.238</v>
      </c>
      <c r="F13" s="143">
        <v>17.562000000000001</v>
      </c>
      <c r="G13" s="143">
        <v>16.91</v>
      </c>
      <c r="H13" s="143">
        <v>16.321999999999999</v>
      </c>
      <c r="I13" s="143">
        <v>15.736000000000001</v>
      </c>
      <c r="J13" s="143">
        <v>15.182</v>
      </c>
      <c r="K13" s="143">
        <v>14.673</v>
      </c>
      <c r="L13" s="143">
        <v>14.167999999999999</v>
      </c>
      <c r="M13" s="143">
        <v>13.72</v>
      </c>
      <c r="N13" s="143">
        <v>13.223000000000001</v>
      </c>
      <c r="O13" s="143">
        <v>12.814</v>
      </c>
      <c r="P13" s="143">
        <v>12.393000000000001</v>
      </c>
    </row>
    <row r="14" spans="1:16" x14ac:dyDescent="0.25">
      <c r="B14" s="16" t="s">
        <v>170</v>
      </c>
      <c r="C14" s="143">
        <f>maternal_mortality</f>
        <v>1.21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4.8000000000000001E-2</v>
      </c>
      <c r="E2" s="92">
        <f>food_insecure</f>
        <v>4.8000000000000001E-2</v>
      </c>
      <c r="F2" s="92">
        <f>food_insecure</f>
        <v>4.8000000000000001E-2</v>
      </c>
      <c r="G2" s="92">
        <f>food_insecure</f>
        <v>4.8000000000000001E-2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4.8000000000000001E-2</v>
      </c>
      <c r="F5" s="92">
        <f>food_insecure</f>
        <v>4.8000000000000001E-2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0.13851777203836535</v>
      </c>
      <c r="D7" s="92">
        <f>diarrhoea_1_5mo/26</f>
        <v>0.10988400817461538</v>
      </c>
      <c r="E7" s="92">
        <f>diarrhoea_6_11mo/26</f>
        <v>0.10988400817461538</v>
      </c>
      <c r="F7" s="92">
        <f>diarrhoea_12_23mo/26</f>
        <v>6.7337441191538464E-2</v>
      </c>
      <c r="G7" s="92">
        <f>diarrhoea_24_59mo/26</f>
        <v>6.7337441191538464E-2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4.8000000000000001E-2</v>
      </c>
      <c r="F8" s="92">
        <f>food_insecure</f>
        <v>4.8000000000000001E-2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0.70099999999999996</v>
      </c>
      <c r="E9" s="92">
        <f>IF(ISBLANK(comm_deliv), frac_children_health_facility,1)</f>
        <v>0.70099999999999996</v>
      </c>
      <c r="F9" s="92">
        <f>IF(ISBLANK(comm_deliv), frac_children_health_facility,1)</f>
        <v>0.70099999999999996</v>
      </c>
      <c r="G9" s="92">
        <f>IF(ISBLANK(comm_deliv), frac_children_health_facility,1)</f>
        <v>0.70099999999999996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0.13851777203836535</v>
      </c>
      <c r="D11" s="92">
        <f>diarrhoea_1_5mo/26</f>
        <v>0.10988400817461538</v>
      </c>
      <c r="E11" s="92">
        <f>diarrhoea_6_11mo/26</f>
        <v>0.10988400817461538</v>
      </c>
      <c r="F11" s="92">
        <f>diarrhoea_12_23mo/26</f>
        <v>6.7337441191538464E-2</v>
      </c>
      <c r="G11" s="92">
        <f>diarrhoea_24_59mo/26</f>
        <v>6.7337441191538464E-2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4.8000000000000001E-2</v>
      </c>
      <c r="I14" s="92">
        <f>food_insecure</f>
        <v>4.8000000000000001E-2</v>
      </c>
      <c r="J14" s="92">
        <f>food_insecure</f>
        <v>4.8000000000000001E-2</v>
      </c>
      <c r="K14" s="92">
        <f>food_insecure</f>
        <v>4.8000000000000001E-2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0.55299999999999994</v>
      </c>
      <c r="I17" s="92">
        <f>frac_PW_health_facility</f>
        <v>0.55299999999999994</v>
      </c>
      <c r="J17" s="92">
        <f>frac_PW_health_facility</f>
        <v>0.55299999999999994</v>
      </c>
      <c r="K17" s="92">
        <f>frac_PW_health_facility</f>
        <v>0.55299999999999994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0.252</v>
      </c>
      <c r="M23" s="92">
        <f>famplan_unmet_need</f>
        <v>0.252</v>
      </c>
      <c r="N23" s="92">
        <f>famplan_unmet_need</f>
        <v>0.252</v>
      </c>
      <c r="O23" s="92">
        <f>famplan_unmet_need</f>
        <v>0.252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0.1849223898559571</v>
      </c>
      <c r="M24" s="92">
        <f>(1-food_insecure)*(0.49)+food_insecure*(0.7)</f>
        <v>0.50007999999999997</v>
      </c>
      <c r="N24" s="92">
        <f>(1-food_insecure)*(0.49)+food_insecure*(0.7)</f>
        <v>0.50007999999999997</v>
      </c>
      <c r="O24" s="92">
        <f>(1-food_insecure)*(0.49)+food_insecure*(0.7)</f>
        <v>0.50007999999999997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7.9252452795410197E-2</v>
      </c>
      <c r="M25" s="92">
        <f>(1-food_insecure)*(0.21)+food_insecure*(0.3)</f>
        <v>0.21431999999999998</v>
      </c>
      <c r="N25" s="92">
        <f>(1-food_insecure)*(0.21)+food_insecure*(0.3)</f>
        <v>0.21431999999999998</v>
      </c>
      <c r="O25" s="92">
        <f>(1-food_insecure)*(0.21)+food_insecure*(0.3)</f>
        <v>0.21431999999999998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0.10561077136230472</v>
      </c>
      <c r="M26" s="92">
        <f>(1-food_insecure)*(0.3)</f>
        <v>0.28559999999999997</v>
      </c>
      <c r="N26" s="92">
        <f>(1-food_insecure)*(0.3)</f>
        <v>0.28559999999999997</v>
      </c>
      <c r="O26" s="92">
        <f>(1-food_insecure)*(0.3)</f>
        <v>0.28559999999999997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0.63021438598632795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2020-03-24T06:49:59Z</dcterms:modified>
</cp:coreProperties>
</file>