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3ECEAFC-C1D1-4C32-81CB-2EFF7F7F8384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I11" i="2" s="1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2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2" i="2"/>
  <c r="I10" i="2"/>
  <c r="I9" i="2"/>
  <c r="I8" i="2"/>
  <c r="I7" i="2"/>
  <c r="I5" i="2"/>
  <c r="I4" i="2"/>
  <c r="I3" i="2"/>
  <c r="I2" i="2"/>
  <c r="C6" i="51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2FEA108-68AA-4CF3-8420-FD524EED0B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6CBE4D0-269A-46E5-8249-A17A0019B71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EB067053-3F49-4638-9FFC-D823A633E7D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C4F91DA-D3D4-4B50-908B-1F22CC7F209D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4D808EE2-BC12-4471-BE6A-6C67949061F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9ED5ECE4-663E-45B4-BDED-20B5BFB53058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32FA9C4-82D1-4A59-946F-4E0282F0B43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E55B787-1723-41A6-B3AF-89BF4E96F11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AA546C6-9A3F-4841-ACEF-681E7CA1A69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C1104FC-BB4E-4219-9901-236F389E566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17CB093-BB65-4751-9F4E-40F98353B2D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D6B6214D-A536-4BE0-ACAE-00F6630237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42402CD-D58D-4267-BD5E-F838CEFB0EF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206380F-544F-4085-8474-1997B49E61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294A1A0E-19C3-49CA-861A-8983BA0CBC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CCF2E3F-07D7-4A16-83FA-8D3138B4B0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7273966-52D9-4FA1-B79A-5C260DAE16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198017B-9AF5-4BE8-9345-08986BDA60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273D24D-634B-4C08-8016-4FA5BCB9196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7C4D7DC0-415F-43CF-BA9F-D219F85ABC9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51D99F5-CA87-49D2-9FB0-5E7ACD541E2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FC8ED25-F9FC-4D58-9F1E-28DCC56548B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C6A7414-9C77-419E-863F-42C0617F969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40BF1C3-3CC9-406B-B3E5-79DA6CE718E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74FD258-5BE3-468B-B916-49D3748BDE8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96D8772-3B8C-4974-975B-E7D9163127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E9068B3F-7432-472C-A1A3-CE7968E5D84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13D37D88-A178-46D3-B32D-1130DFAEEA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6C2398B-5731-42DA-87F2-10E1D96239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4BCE45A-60F2-498F-9527-599B07FEC7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188F118-F1AF-4843-A102-F5046A5D96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51574FB-78F8-4C5E-AC58-3AD125EC45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5EC5CE9B-992C-409A-AD21-12A0A2E6F5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E629E1F-7ECC-4EFF-83FC-F1D747AD3A0E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C0E1E02-B06B-4372-855C-EDA6A634C14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B270931-1CDE-4A1B-AD2D-42FEEC4845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A30A6F2-BB12-4DB0-BC4E-8A958D279C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CA1A46D-C48B-473E-B680-CB92B5710F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CB8A520-7D24-487D-9D02-2682422378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8E6CB34-4497-4FDD-B167-580C546D61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45A313F-4813-4F8D-A7C3-700C1D5DC9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FBC23F3-1153-4398-ACC5-FF67237F24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DB96BA5-4B5C-4AAA-B25F-AFEFA650D5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DD7BC19-1047-4F1F-A0B9-B249E7B791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2C8834F-A5BC-4276-A615-3828BD21C5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8457B37E-6ED8-44C3-ACBF-98098D3A65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685A2C7-CB5E-4820-842D-BDA060DC6B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E305EC9-C4F9-492C-9E23-2CC9632539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4FEB172C-F2FD-4BF5-BED9-B27EE08349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FDC9855-2989-466C-9139-35741F7C4C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21FC2A7C-AD7A-4DEC-B0E3-AA8630EB9D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30D032C-D3A9-4A23-8E06-2430147A00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7BA9DB7-96A7-40C6-A6AA-9B62D824E3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097598F-4176-4F6C-B046-1957289C5E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4065AA49-3E35-4F3D-A0DA-ADA094C40B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5473712-24E9-4FAF-8313-EF0CE384F1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6C7E7A8-6743-4D04-9544-DD06C3223B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E34250E3-E9D8-4A74-89E6-088281A032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B2624D9-8AE0-42ED-8D03-CE5D2F677E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924CDC8-F1C0-475F-AA27-4A6BCEC3CB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C7DF2E7-5F70-40CD-A6D3-0DA166A736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C4FF5C6-CCC2-4670-9ECF-86F7584540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D719800-1C6B-4CB7-9229-92EF949482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7F1D396-5BBE-4D26-9AA5-F20160DFC7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7749F38-77BA-4E97-818E-5859AD4BD1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470FD97-56A0-4B16-B6D1-34A1BA219E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3747A65-D97F-4A74-B1F4-35663F7422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4B81E224-6461-47CD-9165-384BD20985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841D068-2134-40EA-947D-F4EED18062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0A480E47-B221-4430-B952-12E04FDB5E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7573138-0BF4-4149-972F-C957DD6C06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761E8E22-204D-4D2D-8574-B96B4C0429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C9C6562-F35F-44C9-9838-F75F002AA7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733155AB-FDE1-4C18-83F4-92BE5A2419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B507054-6FD9-4357-B249-FBFEC58735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D03925E-3B7A-47AA-87E1-8E398C9656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0889787-2451-4824-BE0B-BB326CFC45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B97E96B-48D5-4129-A91E-0367C43167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28F8CCF-3C76-439B-A9DE-AB9296DF17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01E60FE-6EC9-463B-B4FA-5D00AAE746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D05E3C2-19D2-4D78-86C2-658A5AC778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3921A04-7402-4D22-8FA2-295571BC44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7BA98FC-B4CC-4223-B969-DE735AA3E6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738F05C9-4E0C-4C73-91B9-E3B818A99C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500397A4-F11A-4943-9B96-01EAAFEEA4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85A05F1-8B20-4D12-978D-78B3E373FE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F1B7114-511E-48B2-A1A0-7B6938E763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B9247ED-9309-455C-8E8E-C50A543C8D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9D7D784-FE5A-4A4E-AD59-C54289C72A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A614F1C9-80BD-46C3-B616-76498FB477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2615C98E-39EA-4516-92E8-68BF0CD0BF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3C6BDD2-B80D-4FE1-8F8B-BE31CAA059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5EB787E-D6C1-44BC-9FD8-3EC3EA587D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5A4AAEC-9F04-4C57-AB41-6FCBD12088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1D13E90-8CC9-437D-94B2-916961FD09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7634B00E-F5E5-4E6C-A6CA-85B68DD038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68BFEA7-BB1F-40B2-8D38-0F5C089A51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22A6ED0-28B6-454C-9DE3-B1B03CDFD6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283F84D-1D4A-4AA9-895F-BBD6844F6D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B98A28D-FDC5-42F6-A5D6-AA93141E4F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C0EDB781-6535-4D12-AE89-8A751FDCD5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043088F1-7609-4DD0-8BE3-FD7A4DBA40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A0DD5452-5305-406A-B294-90B03B94DC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499222A-8A99-424E-8177-A6E738C9FB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DF8066E-D1EE-4E0E-BADC-DD25C79D3F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ADD1BF5-CB03-4005-8139-673FF8BA64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81259B9-8554-48E0-8E16-BDE4701A16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65AEB24C-09B5-4391-AE36-A853D08EE8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A9BA676-A142-44DA-B37C-B8F7F30335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F08BDFA-C168-408A-BDF8-EDDD081F71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25DEE48-1337-4E59-B8D0-62F384B58F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BF426198-C9AE-4B8B-B336-E9A47988BD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F7ABB4A-BC38-48FC-8258-7ACCC46DFE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B44CA01-23D1-49D4-8891-6FEC8BD04EF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030C4E4-82F7-4CBE-ABB0-033C563F2D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1420C0A-0C4B-46E6-A114-F81F934206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95696BF-B05A-4508-AD10-C53305897F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9BD9BB1-C618-4605-876E-3FDCFB9E6F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AB05675-A2F1-4753-8E07-F25DBCDF65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8E4C68E-0229-4AD1-B28D-A38CD4F395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68CAC70A-3132-4B4D-8CEC-95EDEE9754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EEAC733A-7B91-4D8F-B9EE-793DD8AEFD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71BF5EB-278E-41A9-A13F-3F93C79DFD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74AF0727-4DD6-4A7F-9540-B1388B61E0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7883CDFA-A913-4FDF-B961-62917B9B4D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3091001-C6B5-4B16-9E13-04C12601EE7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3EF271A-29C8-4F49-B05D-82E89CA4E6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4E426D2-557B-4A07-A781-84DFEF20CD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80CA60F-738E-40D4-8BB3-94CE450BD4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37088B58-4A16-4126-9B8A-7A798161E7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67648C6-52BA-4A07-8D46-180D7179DE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E9CE0A6-8BB6-40D9-901F-4864E870B3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5EEF8C3-D3AC-4640-A119-E5972DCC1C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EA62DD4-C7B4-4C53-BFE8-AAB4ABD622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701E792-84FF-4C6C-A5CC-8BC3B10D5D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38B4A4A8-2881-4F95-BA7C-F03E5A2B96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C4EB8E6-21AB-41AA-81AD-9927122AB6E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65F2C43-675C-4AA6-9C54-4E1384978CA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CB956D8-E12B-4188-B6B0-E4EFF2D72B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18DEE68-C95E-404B-BD3E-04622A59968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CFF20FF6-58E1-4E21-A2EB-ECC1B1FC4D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C87C2CE-E384-46ED-BFC7-6EB994202F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741EC657-0575-4FE1-ACF7-7544431907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7F11D82F-411A-43C5-973D-9CC3B8FB64B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AA2029B-9DF0-4374-BD78-B50F6C341A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1CF4C0E7-D4F3-4491-893E-B535287E6E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11B31B4-2141-43FE-9F38-D5B3521D04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01C72B3-FC00-4D81-971A-E9B659B75E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4F8C4A6A-903D-4203-9809-38FF07872E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9A218CB0-B892-4123-8D80-A786978F40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C295A8DC-F6A9-427F-91D0-72F898DAD4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6B02615-3BAB-485E-BBE6-F4A41CACCD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9BC2117-3669-494A-86C8-15993DF75E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6618201-05C4-47D7-9AD2-41B262B96C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5805FCF-D2A0-425B-84E2-B4DE6582D3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8E8F6C7-C77F-411C-8E77-DAECFB856B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C38E4476-6238-445E-A8DA-260E529D54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E29AF2D-CB5A-4448-9BAC-CCACFB14C83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53E0A5A-B372-4D60-A279-56AF53037E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37F9407-5860-4986-B6B7-A50741283C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F7CB6E94-7E93-4273-A108-55985CD49C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AFC84E6-6F1C-4B38-81B6-80E5C8696C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E6036FA-EA0A-4751-9A8F-B1DD6530E5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149089C-6D10-4E46-A8E6-BEC1AD3D2F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E500CAF-CDCA-4985-8B7D-EBCEB3E3BC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63C15AD-EBCC-44FF-A944-4AF1341A23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C0BD68B-D8C5-4AAA-8DFD-23A569A410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014A78C8-DE01-4019-AFD6-CB4F000421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461DE4A-759F-49E2-8B50-6A0092C42B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49C213A-D9DC-4222-9988-F5E3423067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803F8BA-2105-4732-8DD6-703464406B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395D46E-D437-44E1-BF28-340DB4955A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874BF77-9076-4395-ADC0-76C6CE572F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F8C2E77-B100-44BB-AEBA-CE9325A89A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353742C-722F-4CE2-A0DE-66288456E6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13CB85B-0C0A-47DF-A5EA-911F5E471A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FC6F2E06-3721-47F4-8270-44B21DA003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1D7B0E4-1CEC-4A20-8BE4-4352F277E3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5B39DB9-7989-4410-8A74-77F1D1EE99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84942192-36B2-44C0-BD15-C1C67C19D5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4E1054F-90CE-4ECE-9BC5-C14CEBAF24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7BE9C2FE-BFBF-4467-82C9-7AEADACD5B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8DF67581-24B9-48EC-BAC2-DA1B211286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1C88A342-9511-4C44-8343-91CED5D74C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A3261504-A441-456C-9DA4-560B802FB5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9810B62A-835F-49B0-AB78-8B830A159D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4DC14239-1E8F-4BFF-8E52-5C211AD12E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971FA545-6D5F-4DD2-8336-39B0E18597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1C8F81C-6C00-40BB-AA18-5EDA3BFC0E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AE6C506C-2F1F-4A85-80F1-31DE821B1E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CE16BED-728C-4A83-B738-9588B3CAED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6EE7399E-87A7-4A43-8383-C05C17AF8B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DB9FC17-766A-43EC-9D37-EF650FC0D4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B70E1D7-D78B-44B3-82F4-BFA4D1B39C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1B043E0C-C99C-498D-AA95-82D99F0574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7E7D13D-3DDF-49AD-B1F0-B8B8E73D4E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9C0D9DB7-C457-4844-8793-53E82B0688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1A3D58BA-D35A-4427-A156-F881EDAF01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9353F605-0903-45AE-91E4-17C8B86622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A40B935-020B-41B1-943B-92C13201B2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84E0A05-FAB5-4834-A1D4-E70837A4F0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32F12F64-8519-4C8E-9258-F7AE3ABBA4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6AE93529-6190-4DB1-9F5B-30825282043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C5D82581-D6BD-4046-822A-CCD4D025CC7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E8748AD-D3C8-4394-9101-4C23C4DA0BF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EAF1B3C-F207-4D05-A474-C57D9B03702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D28CED5-3639-4F3F-B3FA-A22D45B618C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587B666-5349-40DA-B92D-228E7A92D6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13B05AA-DADD-4867-B872-7EDFD59A31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3D5ED78-D7C3-45E1-BD88-4D8DBF3802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961B431D-5DA2-4E6D-8B02-FA3C408931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C2ADECB-E857-4BC6-8C0B-4BE78A9E6E4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9A90ACD0-F641-4857-A2CA-42505387DF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CD5C127-3D85-4E18-90E2-CA814F663B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58A009F-3EA9-4666-8699-ECF63137329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C3977525-DA67-40B3-A2B7-E715DF00377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CCB7ECFF-37C1-4211-85BD-DC7288D2CC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6611D405-054A-4EDD-9FFC-595C52CA1E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08F2978F-4D76-4203-AB89-190AB95E2A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2467005-D974-4D23-B523-A1E535458F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48BDF54-FA2B-46ED-9F04-7E7BA95A6F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A0CCEE42-9982-4269-BAED-FAEA7E61A2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A3567CA-2292-41CA-9CFE-75648A417A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EE90152D-43F5-41BC-886A-B3806CC14E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DC77BED-C2F3-4B76-9CEB-7BBD08F868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CF1A732-E2A8-40F5-91E0-60120F7FF2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9591D09-FA96-4AD7-8224-CD966CAD26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C77A3D3E-89B5-4644-B117-8405913C55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13664B5-C035-4E01-AECB-5CCD05DFED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D7F9DF5E-BC9D-45FF-A723-055B38DF96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3462EBD-F535-4608-B549-FE658969BB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5EF80EA-8B3A-453F-975C-4583F480ED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EE17C89-D63A-49AB-B1DE-EF233D8065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18336D5-6A13-4557-A617-DC37B3F884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5853AC7-B410-495C-AD57-D1837FB372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B0511B00-36FC-43FA-9F41-C7A2D7AB6C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0D684F9-4B78-4393-B19C-D69195D697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15010203-583A-438F-A2C2-95325F7058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95A36C25-A62C-47AF-BC08-332DC612EF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8274E61-F5BF-47E7-8CCC-402BA665F9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881C63F2-89D1-45A9-840B-A1F6918282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C1208D7-F020-40AD-A33F-75FA17B1B9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8869482-3B60-46A5-9A3E-8DDE21DF53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2200BEB-2C3D-48BF-8574-5A24682B3A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F1A8CDF3-153C-492B-9723-36DC1A4896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963E2D26-B5E5-4C27-AF33-1DF01D0ABF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5A44974-ACC2-4D6E-908F-DFC44C507C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0CD0769-1540-4AFA-BB54-6C57684359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36C80EC-987E-4FD1-8B11-75FC288CBD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4BB7C4B-3A11-45C9-B253-AD99CB5E41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D10BAD0-5791-44B8-9293-928DB09C1D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2E21D0F-2727-472C-A6A2-FC874754CE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05FEF85-7364-40EF-9CF6-979957D9C3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ABE92812-33BB-4EDC-A9EE-582466941C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0D3C377-7BB6-45A1-B269-8F0A1D2721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7597AA7D-891E-48F3-A8D4-466C7263D3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520C3B5-F50F-4667-A1A9-41F2D0404E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3EC03C8-A67E-4FED-990C-919EAC8718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F3B9B9E-41A0-4895-95C7-4D0DACC463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F2578A5-2163-4508-844D-D9EB8A370A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75C4E71-E144-4A71-8212-9F29218C3D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9D5AA7A-ED9F-4F2A-95D0-7F77F96183B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28A302E-BC4A-4CA1-B132-9B524E3614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421A281B-685E-455C-85E4-8E86FD0785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EA30F97E-0037-42E7-B7FE-FF52C263051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5C019A1-AEC1-46A7-8FB6-85A52BD2FB90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2DF852A-35E2-4EFC-904D-549288B8BD9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31CC7B8-39BE-49B3-91D8-8DB50224B8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4227C588-3335-4625-B5A9-73CF66FECF0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21F1002E-214E-4489-AF66-92EF1D5F99A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582454BC-6DDA-462F-860A-F7FBF618D6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D9E064D-86D4-47CD-9FAE-4CD1AD021F9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01D9D96-0D26-4101-96AD-9A3DCA1C224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EA45241-9F37-4D07-873D-57DB4C91AEA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A9D5836-4577-4154-AF6A-7FC4AD193FE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BF909E6-3DEB-438C-9B59-5170D713988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6A2D69A-28F9-41BD-8611-E9B049E8DC3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00DF722-E34F-455E-8E34-F8D817BEE5F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D37AB5C8-E843-40C0-880F-3469F6DE5EA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CFAF3B5-9C55-44B7-869D-692C9F7134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78625E1B-9D67-418B-B16A-EEC18757016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EA951F3D-DF47-40B5-B7EC-E58A2C445A7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29EB434-D807-40D5-84B9-54D2E24F629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B0F71CE6-02D0-44E9-80F7-C256B9B7E9A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577A9B6-E008-40EE-A34D-14812B9C1EB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14C8228-21FE-4934-B17F-5616735FD60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5D84CD0-771F-4713-962B-854358E4546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AE405CF-5D49-4D72-AC66-0DD81E9B1E0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3327090-3F08-46C8-A8EB-1420E11C03CE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BFEBB121-1983-4F5F-804E-B66103FA8FE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56A13AF-9CF2-49C8-A577-9D8B409EE89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10121E6-1E22-41AC-A313-7B2433DDF2C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8F886E69-E0A9-431F-8283-6CDE5C3BAD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541E2B4-09EF-4483-A1FF-B27FD870EBA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4A4A308-0172-4757-8A16-7480D27EA81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AAC454C-FE9F-4222-A33D-716296B8C14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0C9B8FEF-DF00-4FAA-889D-FCF4E748D1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7A82017-2A76-4F3F-8E7B-7749E2B9966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1D43FBC1-592D-4F13-BABD-592D9B030D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79C5F56B-C021-4039-891C-2E7E688485E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05B4792-E69A-4196-9703-3ADC2DFF3E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C9AA4A0C-2454-45BB-B153-85C016096A6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9ED2C7E9-FA0E-4859-B018-A9072E5DC1A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55A0864-3FF1-4572-A6F7-93E41AF52FA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02B5B76-9381-4EFC-AC86-1C0D80460DB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84C6D14-EE08-468A-B0E5-17D800621FF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A4AC643D-A699-4AD9-B8F7-62EDEE2F4F1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BCC3C341-3F9E-44D1-9AD5-8A8C955781D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15132E2F-FA4F-444E-A3CE-2CA2DA55FC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37418269-0090-4357-A6BF-0FC6C03D10E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0AB2B46D-0697-45F1-A5D3-625ABB6EFFC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FC24DFE-3DAF-4D09-A162-49953BF8D57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3FD87334-9D1E-4D70-8C22-0D952C81CAE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EDAC3787-552A-4A41-A94D-CCD19FC2B08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9773D765-4A9A-49FB-BB31-7DD6E53A138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A78CC50-4016-4C1B-BAA0-F8072AB48AD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D566463-D383-47B7-B20B-90896303CDD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BC4C0913-D7F8-4318-A47D-9B42802B993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3AD2924-67E5-47A2-BF95-3E333AFEB2C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C5C7CEF-3157-4816-BFC2-128B8C4E8EF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78CF8AC-F582-4F5D-A134-9BBA6AC49BA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A50F4B0-D872-4627-9342-6BFC80CFB19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2A23545-B28D-4197-9EED-CF505D58E5E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<sst xmlns="http://schemas.openxmlformats.org/spreadsheetml/2006/main" count="1102" uniqueCount="271">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</sst>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348513</v>
      </c>
    </row>
    <row r="8" spans="1:3" ht="15" customHeight="1" x14ac:dyDescent="0.25">
      <c r="B8" s="7" t="s">
        <v>106</v>
      </c>
      <c r="C8" s="70">
        <v>0.17399999999999999</v>
      </c>
    </row>
    <row r="9" spans="1:3" ht="15" customHeight="1" x14ac:dyDescent="0.25">
      <c r="B9" s="9" t="s">
        <v>107</v>
      </c>
      <c r="C9" s="71">
        <v>0.27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0.625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0.1114</v>
      </c>
    </row>
    <row r="24" spans="1:3" ht="15" customHeight="1" x14ac:dyDescent="0.25">
      <c r="B24" s="20" t="s">
        <v>102</v>
      </c>
      <c r="C24" s="71">
        <v>0.47340000000000004</v>
      </c>
    </row>
    <row r="25" spans="1:3" ht="15" customHeight="1" x14ac:dyDescent="0.25">
      <c r="B25" s="20" t="s">
        <v>103</v>
      </c>
      <c r="C25" s="71">
        <v>0.35499999999999998</v>
      </c>
    </row>
    <row r="26" spans="1:3" ht="15" customHeight="1" x14ac:dyDescent="0.25">
      <c r="B26" s="20" t="s">
        <v>104</v>
      </c>
      <c r="C26" s="71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0.32600000000000001</v>
      </c>
    </row>
    <row r="30" spans="1:3" ht="14.25" customHeight="1" x14ac:dyDescent="0.25">
      <c r="B30" s="30" t="s">
        <v>76</v>
      </c>
      <c r="C30" s="73">
        <v>3.4000000000000002E-2</v>
      </c>
    </row>
    <row r="31" spans="1:3" ht="14.25" customHeight="1" x14ac:dyDescent="0.25">
      <c r="B31" s="30" t="s">
        <v>77</v>
      </c>
      <c r="C31" s="73">
        <v>7.2999999999999995E-2</v>
      </c>
    </row>
    <row r="32" spans="1:3" ht="14.25" customHeight="1" x14ac:dyDescent="0.25">
      <c r="B32" s="30" t="s">
        <v>78</v>
      </c>
      <c r="C32" s="73">
        <v>0.56700000000000006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17.5</v>
      </c>
    </row>
    <row r="38" spans="1:5" ht="15" customHeight="1" x14ac:dyDescent="0.25">
      <c r="B38" s="16" t="s">
        <v>91</v>
      </c>
      <c r="C38" s="75">
        <v>31.8</v>
      </c>
      <c r="D38" s="17"/>
      <c r="E38" s="18"/>
    </row>
    <row r="39" spans="1:5" ht="15" customHeight="1" x14ac:dyDescent="0.25">
      <c r="B39" s="16" t="s">
        <v>90</v>
      </c>
      <c r="C39" s="75">
        <v>44.2</v>
      </c>
      <c r="D39" s="17"/>
      <c r="E39" s="17"/>
    </row>
    <row r="40" spans="1:5" ht="15" customHeight="1" x14ac:dyDescent="0.25">
      <c r="B40" s="16" t="s">
        <v>171</v>
      </c>
      <c r="C40" s="75">
        <v>2.65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2.3300000000000001E-2</v>
      </c>
      <c r="D45" s="17"/>
    </row>
    <row r="46" spans="1:5" ht="15.75" customHeight="1" x14ac:dyDescent="0.25">
      <c r="B46" s="16" t="s">
        <v>11</v>
      </c>
      <c r="C46" s="71">
        <v>0.12119999999999999</v>
      </c>
      <c r="D46" s="17"/>
    </row>
    <row r="47" spans="1:5" ht="15.75" customHeight="1" x14ac:dyDescent="0.25">
      <c r="B47" s="16" t="s">
        <v>12</v>
      </c>
      <c r="C47" s="71">
        <v>0.22239999999999999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2.7717301023000003</v>
      </c>
      <c r="D51" s="17"/>
    </row>
    <row r="52" spans="1:4" ht="15" customHeight="1" x14ac:dyDescent="0.25">
      <c r="B52" s="16" t="s">
        <v>125</v>
      </c>
      <c r="C52" s="76">
        <v>2.9431831374299997</v>
      </c>
    </row>
    <row r="53" spans="1:4" ht="15.75" customHeight="1" x14ac:dyDescent="0.25">
      <c r="B53" s="16" t="s">
        <v>126</v>
      </c>
      <c r="C53" s="76">
        <v>2.9431831374299997</v>
      </c>
    </row>
    <row r="54" spans="1:4" ht="15.75" customHeight="1" x14ac:dyDescent="0.25">
      <c r="B54" s="16" t="s">
        <v>127</v>
      </c>
      <c r="C54" s="76">
        <v>2.0510429652700002</v>
      </c>
    </row>
    <row r="55" spans="1:4" ht="15.75" customHeight="1" x14ac:dyDescent="0.25">
      <c r="B55" s="16" t="s">
        <v>128</v>
      </c>
      <c r="C55" s="76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0.4468569680171719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59.757730837177341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39.918868339226442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441.49789473503637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1.4695112663172396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1.5183340537083339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1.5183340537083339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1.5183340537083339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1.5183340537083339</v>
      </c>
      <c r="E13" s="86" t="s">
        <v>202</v>
      </c>
    </row>
    <row r="14" spans="1:5" ht="15.75" customHeight="1" x14ac:dyDescent="0.25">
      <c r="A14" s="11" t="s">
        <v>187</v>
      </c>
      <c r="B14" s="85">
        <v>0.38600000000000001</v>
      </c>
      <c r="C14" s="85">
        <v>0.95</v>
      </c>
      <c r="D14" s="86">
        <v>13.05116778302235</v>
      </c>
      <c r="E14" s="86" t="s">
        <v>202</v>
      </c>
    </row>
    <row r="15" spans="1:5" ht="15.75" customHeight="1" x14ac:dyDescent="0.25">
      <c r="A15" s="11" t="s">
        <v>209</v>
      </c>
      <c r="B15" s="85">
        <v>0.38600000000000001</v>
      </c>
      <c r="C15" s="85">
        <v>0.95</v>
      </c>
      <c r="D15" s="86">
        <v>13.05116778302235</v>
      </c>
      <c r="E15" s="86" t="s">
        <v>202</v>
      </c>
    </row>
    <row r="16" spans="1:5" ht="15.75" customHeight="1" x14ac:dyDescent="0.25">
      <c r="A16" s="52" t="s">
        <v>57</v>
      </c>
      <c r="B16" s="85">
        <v>5.0999999999999997E-2</v>
      </c>
      <c r="C16" s="85">
        <v>0.95</v>
      </c>
      <c r="D16" s="86">
        <v>0.75814631923040521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0.311</v>
      </c>
      <c r="C18" s="85">
        <v>0.95</v>
      </c>
      <c r="D18" s="87">
        <v>10.169953236313981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10.169953236313981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10.169953236313981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12.173502103595629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22.542590342261047</v>
      </c>
      <c r="E22" s="86" t="s">
        <v>202</v>
      </c>
    </row>
    <row r="23" spans="1:5" ht="15.75" customHeight="1" x14ac:dyDescent="0.25">
      <c r="A23" s="52" t="s">
        <v>34</v>
      </c>
      <c r="B23" s="85">
        <v>0.32700000000000001</v>
      </c>
      <c r="C23" s="85">
        <v>0.95</v>
      </c>
      <c r="D23" s="86">
        <v>4.3037053742427069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18.626611965744981</v>
      </c>
      <c r="E24" s="86" t="s">
        <v>202</v>
      </c>
    </row>
    <row r="25" spans="1:5" ht="15.75" customHeight="1" x14ac:dyDescent="0.25">
      <c r="A25" s="52" t="s">
        <v>87</v>
      </c>
      <c r="B25" s="85">
        <v>0.49700000000000005</v>
      </c>
      <c r="C25" s="85">
        <v>0.95</v>
      </c>
      <c r="D25" s="86">
        <v>18.614941564180079</v>
      </c>
      <c r="E25" s="86" t="s">
        <v>202</v>
      </c>
    </row>
    <row r="26" spans="1:5" ht="15.75" customHeight="1" x14ac:dyDescent="0.25">
      <c r="A26" s="52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7.5748286460562575</v>
      </c>
      <c r="E27" s="86" t="s">
        <v>202</v>
      </c>
    </row>
    <row r="28" spans="1:5" ht="15.75" customHeight="1" x14ac:dyDescent="0.25">
      <c r="A28" s="52" t="s">
        <v>84</v>
      </c>
      <c r="B28" s="85">
        <v>0.71599999999999997</v>
      </c>
      <c r="C28" s="85">
        <v>0.95</v>
      </c>
      <c r="D28" s="86">
        <v>2.0071436647859824</v>
      </c>
      <c r="E28" s="86" t="s">
        <v>202</v>
      </c>
    </row>
    <row r="29" spans="1:5" ht="15.75" customHeight="1" x14ac:dyDescent="0.25">
      <c r="A29" s="52" t="s">
        <v>58</v>
      </c>
      <c r="B29" s="85">
        <v>0.311</v>
      </c>
      <c r="C29" s="85">
        <v>0.95</v>
      </c>
      <c r="D29" s="86">
        <v>117.59265972586412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2.1005836053346107</v>
      </c>
      <c r="E30" s="86" t="s">
        <v>202</v>
      </c>
    </row>
    <row r="31" spans="1:5" ht="15.75" customHeight="1" x14ac:dyDescent="0.25">
      <c r="A31" s="52" t="s">
        <v>28</v>
      </c>
      <c r="B31" s="85">
        <v>0.42049999999999998</v>
      </c>
      <c r="C31" s="85">
        <v>0.95</v>
      </c>
      <c r="D31" s="86">
        <v>1.6314175230449219</v>
      </c>
      <c r="E31" s="86" t="s">
        <v>202</v>
      </c>
    </row>
    <row r="32" spans="1:5" ht="15.75" customHeight="1" x14ac:dyDescent="0.25">
      <c r="A32" s="52" t="s">
        <v>83</v>
      </c>
      <c r="B32" s="85">
        <v>0.54100000000000004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0.51500000000000001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0.34399999999999997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0.50700000000000001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2E-3</v>
      </c>
      <c r="C37" s="85">
        <v>0.95</v>
      </c>
      <c r="D37" s="86">
        <v>4.5084408768645172</v>
      </c>
      <c r="E37" s="86" t="s">
        <v>202</v>
      </c>
    </row>
    <row r="38" spans="1:6" ht="15.75" customHeight="1" x14ac:dyDescent="0.25">
      <c r="A38" s="52" t="s">
        <v>60</v>
      </c>
      <c r="B38" s="85">
        <v>2E-3</v>
      </c>
      <c r="C38" s="85">
        <v>0.95</v>
      </c>
      <c r="D38" s="86">
        <v>1.6525307116904171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0.1297349404</v>
      </c>
      <c r="C3" s="26">
        <f>frac_mam_1_5months * 2.6</f>
        <v>0.1297349404</v>
      </c>
      <c r="D3" s="26">
        <f>frac_mam_6_11months * 2.6</f>
        <v>0.2497717404</v>
      </c>
      <c r="E3" s="26">
        <f>frac_mam_12_23months * 2.6</f>
        <v>0.11599775200000001</v>
      </c>
      <c r="F3" s="26">
        <f>frac_mam_24_59months * 2.6</f>
        <v>8.6998893280000003E-2</v>
      </c>
    </row>
    <row r="4" spans="1:6" ht="15.75" customHeight="1" x14ac:dyDescent="0.25">
      <c r="A4" s="3" t="s">
        <v>66</v>
      </c>
      <c r="B4" s="26">
        <f>frac_sam_1month * 2.6</f>
        <v>0.17872050560000002</v>
      </c>
      <c r="C4" s="26">
        <f>frac_sam_1_5months * 2.6</f>
        <v>0.17872050560000002</v>
      </c>
      <c r="D4" s="26">
        <f>frac_sam_6_11months * 2.6</f>
        <v>0.15802317960000001</v>
      </c>
      <c r="E4" s="26">
        <f>frac_sam_12_23months * 2.6</f>
        <v>0.11062106379999999</v>
      </c>
      <c r="F4" s="26">
        <f>frac_sam_24_59months * 2.6</f>
        <v>2.4704228986666667E-2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72778.165061999985</v>
      </c>
      <c r="C2" s="78">
        <v>134279</v>
      </c>
      <c r="D2" s="78">
        <v>246854</v>
      </c>
      <c r="E2" s="78">
        <v>173894</v>
      </c>
      <c r="F2" s="78">
        <v>119250</v>
      </c>
      <c r="G2" s="22">
        <f t="shared" ref="G2:G40" si="0">C2+D2+E2+F2</f>
        <v>674277</v>
      </c>
      <c r="H2" s="22">
        <f t="shared" ref="H2:H40" si="1">(B2 + stillbirth*B2/(1000-stillbirth))/(1-abortion)</f>
        <v>84609.146646763591</v>
      </c>
      <c r="I2" s="22">
        <f>G2-H2</f>
        <v>589667.85335323645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73126.528000000006</v>
      </c>
      <c r="C3" s="78">
        <v>135000</v>
      </c>
      <c r="D3" s="78">
        <v>252000</v>
      </c>
      <c r="E3" s="78">
        <v>180000</v>
      </c>
      <c r="F3" s="78">
        <v>123000</v>
      </c>
      <c r="G3" s="22">
        <f t="shared" si="0"/>
        <v>690000</v>
      </c>
      <c r="H3" s="22">
        <f t="shared" si="1"/>
        <v>85014.140244533352</v>
      </c>
      <c r="I3" s="22">
        <f t="shared" ref="I3:I15" si="3">G3-H3</f>
        <v>604985.85975546669</v>
      </c>
    </row>
    <row r="4" spans="1:9" ht="15.75" customHeight="1" x14ac:dyDescent="0.25">
      <c r="A4" s="7">
        <f t="shared" si="2"/>
        <v>2019</v>
      </c>
      <c r="B4" s="77">
        <v>73418.538</v>
      </c>
      <c r="C4" s="78">
        <v>135000</v>
      </c>
      <c r="D4" s="78">
        <v>255000</v>
      </c>
      <c r="E4" s="78">
        <v>186000</v>
      </c>
      <c r="F4" s="78">
        <v>127000</v>
      </c>
      <c r="G4" s="22">
        <f t="shared" si="0"/>
        <v>703000</v>
      </c>
      <c r="H4" s="22">
        <f t="shared" si="1"/>
        <v>85353.620044433133</v>
      </c>
      <c r="I4" s="22">
        <f t="shared" si="3"/>
        <v>617646.37995556684</v>
      </c>
    </row>
    <row r="5" spans="1:9" ht="15.75" customHeight="1" x14ac:dyDescent="0.25">
      <c r="A5" s="7">
        <f t="shared" si="2"/>
        <v>2020</v>
      </c>
      <c r="B5" s="77">
        <v>73687.433999999994</v>
      </c>
      <c r="C5" s="78">
        <v>136000</v>
      </c>
      <c r="D5" s="78">
        <v>259000</v>
      </c>
      <c r="E5" s="78">
        <v>192000</v>
      </c>
      <c r="F5" s="78">
        <v>131000</v>
      </c>
      <c r="G5" s="22">
        <f t="shared" si="0"/>
        <v>718000</v>
      </c>
      <c r="H5" s="22">
        <f t="shared" si="1"/>
        <v>85666.228380701927</v>
      </c>
      <c r="I5" s="22">
        <f t="shared" si="3"/>
        <v>632333.77161929803</v>
      </c>
    </row>
    <row r="6" spans="1:9" ht="15.75" customHeight="1" x14ac:dyDescent="0.25">
      <c r="A6" s="7">
        <f t="shared" si="2"/>
        <v>2021</v>
      </c>
      <c r="B6" s="77">
        <v>73985.944199999984</v>
      </c>
      <c r="C6" s="78">
        <v>137000</v>
      </c>
      <c r="D6" s="78">
        <v>261000</v>
      </c>
      <c r="E6" s="78">
        <v>199000</v>
      </c>
      <c r="F6" s="78">
        <v>135000</v>
      </c>
      <c r="G6" s="22">
        <f t="shared" si="0"/>
        <v>732000</v>
      </c>
      <c r="H6" s="22">
        <f t="shared" si="1"/>
        <v>86013.265067678542</v>
      </c>
      <c r="I6" s="22">
        <f t="shared" si="3"/>
        <v>645986.73493232147</v>
      </c>
    </row>
    <row r="7" spans="1:9" ht="15.75" customHeight="1" x14ac:dyDescent="0.25">
      <c r="A7" s="7">
        <f t="shared" si="2"/>
        <v>2022</v>
      </c>
      <c r="B7" s="77">
        <v>74264.718399999998</v>
      </c>
      <c r="C7" s="78">
        <v>138000</v>
      </c>
      <c r="D7" s="78">
        <v>263000</v>
      </c>
      <c r="E7" s="78">
        <v>206000</v>
      </c>
      <c r="F7" s="78">
        <v>139000</v>
      </c>
      <c r="G7" s="22">
        <f t="shared" si="0"/>
        <v>746000</v>
      </c>
      <c r="H7" s="22">
        <f t="shared" si="1"/>
        <v>86337.357426273215</v>
      </c>
      <c r="I7" s="22">
        <f t="shared" si="3"/>
        <v>659662.64257372683</v>
      </c>
    </row>
    <row r="8" spans="1:9" ht="15.75" customHeight="1" x14ac:dyDescent="0.25">
      <c r="A8" s="7">
        <f t="shared" si="2"/>
        <v>2023</v>
      </c>
      <c r="B8" s="77">
        <v>74496.434599999979</v>
      </c>
      <c r="C8" s="78">
        <v>139000</v>
      </c>
      <c r="D8" s="78">
        <v>264000</v>
      </c>
      <c r="E8" s="78">
        <v>214000</v>
      </c>
      <c r="F8" s="78">
        <v>143000</v>
      </c>
      <c r="G8" s="22">
        <f t="shared" si="0"/>
        <v>760000</v>
      </c>
      <c r="H8" s="22">
        <f t="shared" si="1"/>
        <v>86606.741930946111</v>
      </c>
      <c r="I8" s="22">
        <f t="shared" si="3"/>
        <v>673393.25806905387</v>
      </c>
    </row>
    <row r="9" spans="1:9" ht="15.75" customHeight="1" x14ac:dyDescent="0.25">
      <c r="A9" s="7">
        <f t="shared" si="2"/>
        <v>2024</v>
      </c>
      <c r="B9" s="77">
        <v>74655.481999999989</v>
      </c>
      <c r="C9" s="78">
        <v>141000</v>
      </c>
      <c r="D9" s="78">
        <v>265000</v>
      </c>
      <c r="E9" s="78">
        <v>221000</v>
      </c>
      <c r="F9" s="78">
        <v>147000</v>
      </c>
      <c r="G9" s="22">
        <f t="shared" si="0"/>
        <v>774000</v>
      </c>
      <c r="H9" s="22">
        <f t="shared" si="1"/>
        <v>86791.644432663801</v>
      </c>
      <c r="I9" s="22">
        <f t="shared" si="3"/>
        <v>687208.3555673362</v>
      </c>
    </row>
    <row r="10" spans="1:9" ht="15.75" customHeight="1" x14ac:dyDescent="0.25">
      <c r="A10" s="7">
        <f t="shared" si="2"/>
        <v>2025</v>
      </c>
      <c r="B10" s="77">
        <v>74793.509999999995</v>
      </c>
      <c r="C10" s="78">
        <v>144000</v>
      </c>
      <c r="D10" s="78">
        <v>266000</v>
      </c>
      <c r="E10" s="78">
        <v>228000</v>
      </c>
      <c r="F10" s="78">
        <v>152000</v>
      </c>
      <c r="G10" s="22">
        <f t="shared" si="0"/>
        <v>790000</v>
      </c>
      <c r="H10" s="22">
        <f t="shared" si="1"/>
        <v>86952.110573619837</v>
      </c>
      <c r="I10" s="22">
        <f t="shared" si="3"/>
        <v>703047.88942638016</v>
      </c>
    </row>
    <row r="11" spans="1:9" ht="15.75" customHeight="1" x14ac:dyDescent="0.25">
      <c r="A11" s="7">
        <f t="shared" si="2"/>
        <v>2026</v>
      </c>
      <c r="B11" s="77">
        <v>75049.039999999994</v>
      </c>
      <c r="C11" s="78">
        <v>148000</v>
      </c>
      <c r="D11" s="78">
        <v>268000</v>
      </c>
      <c r="E11" s="78">
        <v>233000</v>
      </c>
      <c r="F11" s="78">
        <v>157000</v>
      </c>
      <c r="G11" s="22">
        <f t="shared" si="0"/>
        <v>806000</v>
      </c>
      <c r="H11" s="22">
        <f t="shared" si="1"/>
        <v>87249.180102979764</v>
      </c>
      <c r="I11" s="22">
        <f t="shared" si="3"/>
        <v>718750.81989702024</v>
      </c>
    </row>
    <row r="12" spans="1:9" ht="15.75" customHeight="1" x14ac:dyDescent="0.25">
      <c r="A12" s="7">
        <f t="shared" si="2"/>
        <v>2027</v>
      </c>
      <c r="B12" s="77">
        <v>75263.495999999999</v>
      </c>
      <c r="C12" s="78">
        <v>152000</v>
      </c>
      <c r="D12" s="78">
        <v>269000</v>
      </c>
      <c r="E12" s="78">
        <v>238000</v>
      </c>
      <c r="F12" s="78">
        <v>162000</v>
      </c>
      <c r="G12" s="22">
        <f t="shared" si="0"/>
        <v>821000</v>
      </c>
      <c r="H12" s="22">
        <f t="shared" si="1"/>
        <v>87498.498550866163</v>
      </c>
      <c r="I12" s="22">
        <f t="shared" si="3"/>
        <v>733501.50144913385</v>
      </c>
    </row>
    <row r="13" spans="1:9" ht="15.75" customHeight="1" x14ac:dyDescent="0.25">
      <c r="A13" s="7">
        <f t="shared" si="2"/>
        <v>2028</v>
      </c>
      <c r="B13" s="77">
        <v>75436.877999999997</v>
      </c>
      <c r="C13" s="78">
        <v>157000</v>
      </c>
      <c r="D13" s="78">
        <v>270000</v>
      </c>
      <c r="E13" s="78">
        <v>243000</v>
      </c>
      <c r="F13" s="78">
        <v>168000</v>
      </c>
      <c r="G13" s="22">
        <f t="shared" si="0"/>
        <v>838000</v>
      </c>
      <c r="H13" s="22">
        <f t="shared" si="1"/>
        <v>87700.065917279047</v>
      </c>
      <c r="I13" s="22">
        <f t="shared" si="3"/>
        <v>750299.93408272089</v>
      </c>
    </row>
    <row r="14" spans="1:9" ht="15.75" customHeight="1" x14ac:dyDescent="0.25">
      <c r="A14" s="7">
        <f t="shared" si="2"/>
        <v>2029</v>
      </c>
      <c r="B14" s="77">
        <v>75592.87539999999</v>
      </c>
      <c r="C14" s="78">
        <v>161000</v>
      </c>
      <c r="D14" s="78">
        <v>273000</v>
      </c>
      <c r="E14" s="78">
        <v>247000</v>
      </c>
      <c r="F14" s="78">
        <v>174000</v>
      </c>
      <c r="G14" s="22">
        <f t="shared" si="0"/>
        <v>855000</v>
      </c>
      <c r="H14" s="22">
        <f t="shared" si="1"/>
        <v>87881.422604162653</v>
      </c>
      <c r="I14" s="22">
        <f t="shared" si="3"/>
        <v>767118.57739583729</v>
      </c>
    </row>
    <row r="15" spans="1:9" ht="15.75" customHeight="1" x14ac:dyDescent="0.25">
      <c r="A15" s="7">
        <f t="shared" si="2"/>
        <v>2030</v>
      </c>
      <c r="B15" s="77">
        <v>75683.736000000004</v>
      </c>
      <c r="C15" s="78">
        <v>165000</v>
      </c>
      <c r="D15" s="78">
        <v>277000</v>
      </c>
      <c r="E15" s="78">
        <v>250000</v>
      </c>
      <c r="F15" s="78">
        <v>180000</v>
      </c>
      <c r="G15" s="22">
        <f t="shared" si="0"/>
        <v>872000</v>
      </c>
      <c r="H15" s="22">
        <f t="shared" si="1"/>
        <v>87987.053706887833</v>
      </c>
      <c r="I15" s="22">
        <f t="shared" si="3"/>
        <v>784012.94629311212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127.88184647435561</v>
      </c>
      <c r="I17" s="22">
        <f t="shared" si="4"/>
        <v>-127.88184647435561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6.839523874999999E-2</v>
      </c>
    </row>
    <row r="4" spans="1:8" ht="15.75" customHeight="1" x14ac:dyDescent="0.25">
      <c r="B4" s="24" t="s">
        <v>7</v>
      </c>
      <c r="C4" s="79">
        <v>0.18451152138105559</v>
      </c>
    </row>
    <row r="5" spans="1:8" ht="15.75" customHeight="1" x14ac:dyDescent="0.25">
      <c r="B5" s="24" t="s">
        <v>8</v>
      </c>
      <c r="C5" s="79">
        <v>9.3965647565605451E-2</v>
      </c>
    </row>
    <row r="6" spans="1:8" ht="15.75" customHeight="1" x14ac:dyDescent="0.25">
      <c r="B6" s="24" t="s">
        <v>10</v>
      </c>
      <c r="C6" s="79">
        <v>0.10712246588137003</v>
      </c>
    </row>
    <row r="7" spans="1:8" ht="15.75" customHeight="1" x14ac:dyDescent="0.25">
      <c r="B7" s="24" t="s">
        <v>13</v>
      </c>
      <c r="C7" s="79">
        <v>0.17991631234811173</v>
      </c>
    </row>
    <row r="8" spans="1:8" ht="15.75" customHeight="1" x14ac:dyDescent="0.25">
      <c r="B8" s="24" t="s">
        <v>14</v>
      </c>
      <c r="C8" s="79">
        <v>5.8198284574895556E-4</v>
      </c>
    </row>
    <row r="9" spans="1:8" ht="15.75" customHeight="1" x14ac:dyDescent="0.25">
      <c r="B9" s="24" t="s">
        <v>27</v>
      </c>
      <c r="C9" s="79">
        <v>4.9744249000672952E-2</v>
      </c>
    </row>
    <row r="10" spans="1:8" ht="15.75" customHeight="1" x14ac:dyDescent="0.25">
      <c r="B10" s="24" t="s">
        <v>15</v>
      </c>
      <c r="C10" s="79">
        <v>0.31576258222743525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0.22178544773998199</v>
      </c>
      <c r="D14" s="79">
        <v>0.22178544773998199</v>
      </c>
      <c r="E14" s="79">
        <v>0.25197288394245598</v>
      </c>
      <c r="F14" s="79">
        <v>0.25197288394245598</v>
      </c>
    </row>
    <row r="15" spans="1:8" ht="15.75" customHeight="1" x14ac:dyDescent="0.25">
      <c r="B15" s="24" t="s">
        <v>16</v>
      </c>
      <c r="C15" s="79">
        <v>0.19617882023390704</v>
      </c>
      <c r="D15" s="79">
        <v>0.19617882023390704</v>
      </c>
      <c r="E15" s="79">
        <v>0.14000518531678699</v>
      </c>
      <c r="F15" s="79">
        <v>0.14000518531678699</v>
      </c>
    </row>
    <row r="16" spans="1:8" ht="15.75" customHeight="1" x14ac:dyDescent="0.25">
      <c r="B16" s="24" t="s">
        <v>17</v>
      </c>
      <c r="C16" s="79">
        <v>1.47640290890582E-2</v>
      </c>
      <c r="D16" s="79">
        <v>1.47640290890582E-2</v>
      </c>
      <c r="E16" s="79">
        <v>2.0794649228719601E-2</v>
      </c>
      <c r="F16" s="79">
        <v>2.0794649228719601E-2</v>
      </c>
    </row>
    <row r="17" spans="1:8" ht="15.75" customHeight="1" x14ac:dyDescent="0.25">
      <c r="B17" s="24" t="s">
        <v>18</v>
      </c>
      <c r="C17" s="79">
        <v>9.04586455735767E-5</v>
      </c>
      <c r="D17" s="79">
        <v>9.04586455735767E-5</v>
      </c>
      <c r="E17" s="79">
        <v>3.8683936324641601E-4</v>
      </c>
      <c r="F17" s="79">
        <v>3.8683936324641601E-4</v>
      </c>
    </row>
    <row r="18" spans="1:8" ht="15.75" customHeight="1" x14ac:dyDescent="0.25">
      <c r="B18" s="24" t="s">
        <v>19</v>
      </c>
      <c r="C18" s="79">
        <v>4.5504217240892298E-4</v>
      </c>
      <c r="D18" s="79">
        <v>4.5504217240892298E-4</v>
      </c>
      <c r="E18" s="79">
        <v>4.6595977752716799E-3</v>
      </c>
      <c r="F18" s="79">
        <v>4.6595977752716799E-3</v>
      </c>
    </row>
    <row r="19" spans="1:8" ht="15.75" customHeight="1" x14ac:dyDescent="0.25">
      <c r="B19" s="24" t="s">
        <v>20</v>
      </c>
      <c r="C19" s="79">
        <v>6.3276113609412599E-3</v>
      </c>
      <c r="D19" s="79">
        <v>6.3276113609412599E-3</v>
      </c>
      <c r="E19" s="79">
        <v>1.12265862303001E-2</v>
      </c>
      <c r="F19" s="79">
        <v>1.12265862303001E-2</v>
      </c>
    </row>
    <row r="20" spans="1:8" ht="15.75" customHeight="1" x14ac:dyDescent="0.25">
      <c r="B20" s="24" t="s">
        <v>21</v>
      </c>
      <c r="C20" s="79">
        <v>0.36284196522123402</v>
      </c>
      <c r="D20" s="79">
        <v>0.36284196522123402</v>
      </c>
      <c r="E20" s="79">
        <v>0.17457213697711901</v>
      </c>
      <c r="F20" s="79">
        <v>0.17457213697711901</v>
      </c>
    </row>
    <row r="21" spans="1:8" ht="15.75" customHeight="1" x14ac:dyDescent="0.25">
      <c r="B21" s="24" t="s">
        <v>22</v>
      </c>
      <c r="C21" s="79">
        <v>2.2272159502001201E-2</v>
      </c>
      <c r="D21" s="79">
        <v>2.2272159502001201E-2</v>
      </c>
      <c r="E21" s="79">
        <v>0.112506240273071</v>
      </c>
      <c r="F21" s="79">
        <v>0.112506240273071</v>
      </c>
    </row>
    <row r="22" spans="1:8" ht="15.75" customHeight="1" x14ac:dyDescent="0.25">
      <c r="B22" s="24" t="s">
        <v>23</v>
      </c>
      <c r="C22" s="79">
        <v>0.17528446603489378</v>
      </c>
      <c r="D22" s="79">
        <v>0.17528446603489378</v>
      </c>
      <c r="E22" s="79">
        <v>0.28387588089302929</v>
      </c>
      <c r="F22" s="79">
        <v>0.28387588089302929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7.690000000000001E-2</v>
      </c>
    </row>
    <row r="27" spans="1:8" ht="15.75" customHeight="1" x14ac:dyDescent="0.25">
      <c r="B27" s="24" t="s">
        <v>39</v>
      </c>
      <c r="C27" s="79">
        <v>7.6E-3</v>
      </c>
    </row>
    <row r="28" spans="1:8" ht="15.75" customHeight="1" x14ac:dyDescent="0.25">
      <c r="B28" s="24" t="s">
        <v>40</v>
      </c>
      <c r="C28" s="79">
        <v>0.13339999999999999</v>
      </c>
    </row>
    <row r="29" spans="1:8" ht="15.75" customHeight="1" x14ac:dyDescent="0.25">
      <c r="B29" s="24" t="s">
        <v>41</v>
      </c>
      <c r="C29" s="79">
        <v>0.1464</v>
      </c>
    </row>
    <row r="30" spans="1:8" ht="15.75" customHeight="1" x14ac:dyDescent="0.25">
      <c r="B30" s="24" t="s">
        <v>42</v>
      </c>
      <c r="C30" s="79">
        <v>9.1799999999999993E-2</v>
      </c>
    </row>
    <row r="31" spans="1:8" ht="15.75" customHeight="1" x14ac:dyDescent="0.25">
      <c r="B31" s="24" t="s">
        <v>43</v>
      </c>
      <c r="C31" s="79">
        <v>9.6500000000000002E-2</v>
      </c>
    </row>
    <row r="32" spans="1:8" ht="15.75" customHeight="1" x14ac:dyDescent="0.25">
      <c r="B32" s="24" t="s">
        <v>44</v>
      </c>
      <c r="C32" s="79">
        <v>1.6299999999999999E-2</v>
      </c>
    </row>
    <row r="33" spans="2:3" ht="15.75" customHeight="1" x14ac:dyDescent="0.25">
      <c r="B33" s="24" t="s">
        <v>45</v>
      </c>
      <c r="C33" s="79">
        <v>7.2099999999999997E-2</v>
      </c>
    </row>
    <row r="34" spans="2:3" ht="15.75" customHeight="1" x14ac:dyDescent="0.25">
      <c r="B34" s="24" t="s">
        <v>46</v>
      </c>
      <c r="C34" s="79">
        <v>0.35899999999999999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0.7335232558139535</v>
      </c>
      <c r="D2" s="80">
        <v>0.7335232558139535</v>
      </c>
      <c r="E2" s="80">
        <v>0.81558846115964834</v>
      </c>
      <c r="F2" s="80">
        <v>0.48021755614732531</v>
      </c>
      <c r="G2" s="80">
        <v>0.3827706971289962</v>
      </c>
    </row>
    <row r="3" spans="1:15" ht="15.75" customHeight="1" x14ac:dyDescent="0.25">
      <c r="A3" s="5"/>
      <c r="B3" s="11" t="s">
        <v>118</v>
      </c>
      <c r="C3" s="80">
        <v>0.26147674418604655</v>
      </c>
      <c r="D3" s="80">
        <v>0.26147674418604655</v>
      </c>
      <c r="E3" s="80">
        <v>0.14874257125188198</v>
      </c>
      <c r="F3" s="80">
        <v>0.25572560916788462</v>
      </c>
      <c r="G3" s="80">
        <v>0.33258739236401208</v>
      </c>
    </row>
    <row r="4" spans="1:15" ht="15.75" customHeight="1" x14ac:dyDescent="0.25">
      <c r="A4" s="5"/>
      <c r="B4" s="11" t="s">
        <v>116</v>
      </c>
      <c r="C4" s="81">
        <v>5.0000000000000001E-3</v>
      </c>
      <c r="D4" s="81">
        <v>5.0000000000000001E-3</v>
      </c>
      <c r="E4" s="81">
        <v>2.4489141926411998E-2</v>
      </c>
      <c r="F4" s="81">
        <v>0.17408585673775484</v>
      </c>
      <c r="G4" s="81">
        <v>0.18739517300210923</v>
      </c>
    </row>
    <row r="5" spans="1:15" ht="15.75" customHeight="1" x14ac:dyDescent="0.25">
      <c r="A5" s="5"/>
      <c r="B5" s="11" t="s">
        <v>119</v>
      </c>
      <c r="C5" s="81">
        <v>0</v>
      </c>
      <c r="D5" s="81">
        <v>0</v>
      </c>
      <c r="E5" s="81">
        <v>1.1179825662057653E-2</v>
      </c>
      <c r="F5" s="81">
        <v>8.9970977947035374E-2</v>
      </c>
      <c r="G5" s="81">
        <v>9.7246737504882455E-2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0.50880634374396128</v>
      </c>
      <c r="D8" s="80">
        <v>0.50880634374396128</v>
      </c>
      <c r="E8" s="80">
        <v>0.56144022573789842</v>
      </c>
      <c r="F8" s="80">
        <v>0.73477392646412554</v>
      </c>
      <c r="G8" s="80">
        <v>0.80904180798625436</v>
      </c>
    </row>
    <row r="9" spans="1:15" ht="15.75" customHeight="1" x14ac:dyDescent="0.25">
      <c r="B9" s="7" t="s">
        <v>121</v>
      </c>
      <c r="C9" s="80">
        <v>0.37255694625603858</v>
      </c>
      <c r="D9" s="80">
        <v>0.37255694625603858</v>
      </c>
      <c r="E9" s="80">
        <v>0.28171557426210159</v>
      </c>
      <c r="F9" s="80">
        <v>0.17806499053587446</v>
      </c>
      <c r="G9" s="80">
        <v>0.14799545268041236</v>
      </c>
    </row>
    <row r="10" spans="1:15" ht="15.75" customHeight="1" x14ac:dyDescent="0.25">
      <c r="B10" s="7" t="s">
        <v>122</v>
      </c>
      <c r="C10" s="81">
        <v>4.9898053999999997E-2</v>
      </c>
      <c r="D10" s="81">
        <v>4.9898053999999997E-2</v>
      </c>
      <c r="E10" s="81">
        <v>9.6066053999999998E-2</v>
      </c>
      <c r="F10" s="81">
        <v>4.4614520000000005E-2</v>
      </c>
      <c r="G10" s="81">
        <v>3.3461112799999998E-2</v>
      </c>
    </row>
    <row r="11" spans="1:15" ht="15.75" customHeight="1" x14ac:dyDescent="0.25">
      <c r="B11" s="7" t="s">
        <v>123</v>
      </c>
      <c r="C11" s="81">
        <v>6.8738656000000009E-2</v>
      </c>
      <c r="D11" s="81">
        <v>6.8738656000000009E-2</v>
      </c>
      <c r="E11" s="81">
        <v>6.0778145999999998E-2</v>
      </c>
      <c r="F11" s="81">
        <v>4.2546562999999996E-2</v>
      </c>
      <c r="G11" s="81">
        <v>9.5016265333333332E-3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0.66914178675000002</v>
      </c>
      <c r="D14" s="82">
        <v>0.63932800009000001</v>
      </c>
      <c r="E14" s="82">
        <v>0.63932800009000001</v>
      </c>
      <c r="F14" s="82">
        <v>0.49151955144800008</v>
      </c>
      <c r="G14" s="82">
        <v>0.49151955144800008</v>
      </c>
      <c r="H14" s="83">
        <v>0.83599999999999997</v>
      </c>
      <c r="I14" s="83">
        <v>0.23621256038647348</v>
      </c>
      <c r="J14" s="83">
        <v>0.21395169082125609</v>
      </c>
      <c r="K14" s="83">
        <v>0.26960386473429954</v>
      </c>
      <c r="L14" s="83">
        <v>0.22881044261700001</v>
      </c>
      <c r="M14" s="83">
        <v>0.13465038375749999</v>
      </c>
      <c r="N14" s="83">
        <v>0.18123013465400001</v>
      </c>
      <c r="O14" s="83">
        <v>0.21727668240249998</v>
      </c>
    </row>
    <row r="15" spans="1:15" ht="15.75" customHeight="1" x14ac:dyDescent="0.25">
      <c r="B15" s="16" t="s">
        <v>68</v>
      </c>
      <c r="C15" s="80">
        <f>iron_deficiency_anaemia*C14</f>
        <v>0.29901067000069803</v>
      </c>
      <c r="D15" s="80">
        <f t="shared" ref="D15:O15" si="0">iron_deficiency_anaemia*D14</f>
        <v>0.28568817168869959</v>
      </c>
      <c r="E15" s="80">
        <f t="shared" si="0"/>
        <v>0.28568817168869959</v>
      </c>
      <c r="F15" s="80">
        <f t="shared" si="0"/>
        <v>0.21963893648121366</v>
      </c>
      <c r="G15" s="80">
        <f t="shared" si="0"/>
        <v>0.21963893648121366</v>
      </c>
      <c r="H15" s="80">
        <f t="shared" si="0"/>
        <v>0.37357242526235568</v>
      </c>
      <c r="I15" s="80">
        <f t="shared" si="0"/>
        <v>0.10555322854187267</v>
      </c>
      <c r="J15" s="80">
        <f t="shared" si="0"/>
        <v>9.5605803862533881E-2</v>
      </c>
      <c r="K15" s="80">
        <f t="shared" si="0"/>
        <v>0.12047436556088083</v>
      </c>
      <c r="L15" s="80">
        <f t="shared" si="0"/>
        <v>0.10224554063849972</v>
      </c>
      <c r="M15" s="80">
        <f t="shared" si="0"/>
        <v>6.0169462228225098E-2</v>
      </c>
      <c r="N15" s="80">
        <f t="shared" si="0"/>
        <v>8.0983948484830232E-2</v>
      </c>
      <c r="O15" s="80">
        <f t="shared" si="0"/>
        <v>9.7091599519211147E-2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0.48499999999999999</v>
      </c>
      <c r="D2" s="81">
        <v>0.48499999999999999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0.14199999999999999</v>
      </c>
      <c r="D3" s="81">
        <v>0.20199999999999999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0.13200000000000001</v>
      </c>
      <c r="D4" s="81">
        <v>0.13200000000000001</v>
      </c>
      <c r="E4" s="81">
        <v>0.61699999999999999</v>
      </c>
      <c r="F4" s="81">
        <v>0.66949999999999987</v>
      </c>
      <c r="G4" s="81">
        <v>0</v>
      </c>
    </row>
    <row r="5" spans="1:7" x14ac:dyDescent="0.25">
      <c r="B5" s="43" t="s">
        <v>169</v>
      </c>
      <c r="C5" s="80">
        <f>1-SUM(C2:C4)</f>
        <v>0.24099999999999999</v>
      </c>
      <c r="D5" s="80">
        <f>1-SUM(D2:D4)</f>
        <v>0.18100000000000005</v>
      </c>
      <c r="E5" s="80">
        <f>1-SUM(E2:E4)</f>
        <v>0.38300000000000001</v>
      </c>
      <c r="F5" s="80">
        <f>1-SUM(F2:F4)</f>
        <v>0.33050000000000013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0.24182999999999999</v>
      </c>
      <c r="D2" s="144">
        <v>0.23682999999999998</v>
      </c>
      <c r="E2" s="144">
        <v>0.23194999999999999</v>
      </c>
      <c r="F2" s="144">
        <v>0.2271</v>
      </c>
      <c r="G2" s="144">
        <v>0.22233</v>
      </c>
      <c r="H2" s="144">
        <v>0.21806</v>
      </c>
      <c r="I2" s="144">
        <v>0.21387</v>
      </c>
      <c r="J2" s="144">
        <v>0.20969000000000002</v>
      </c>
      <c r="K2" s="144">
        <v>0.20556000000000002</v>
      </c>
      <c r="L2" s="144">
        <v>0.20144999999999999</v>
      </c>
      <c r="M2" s="144">
        <v>0.19738</v>
      </c>
      <c r="N2" s="144">
        <v>0.19338</v>
      </c>
      <c r="O2" s="144">
        <v>0.18949000000000002</v>
      </c>
      <c r="P2" s="144">
        <v>0.18571000000000001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7.9630000000000006E-2</v>
      </c>
      <c r="D4" s="144">
        <v>7.8939999999999996E-2</v>
      </c>
      <c r="E4" s="144">
        <v>7.8270000000000006E-2</v>
      </c>
      <c r="F4" s="144">
        <v>7.7600000000000002E-2</v>
      </c>
      <c r="G4" s="144">
        <v>7.6939999999999995E-2</v>
      </c>
      <c r="H4" s="144">
        <v>7.6310000000000003E-2</v>
      </c>
      <c r="I4" s="144">
        <v>7.5700000000000003E-2</v>
      </c>
      <c r="J4" s="144">
        <v>7.51E-2</v>
      </c>
      <c r="K4" s="144">
        <v>7.4509999999999993E-2</v>
      </c>
      <c r="L4" s="144">
        <v>7.3940000000000006E-2</v>
      </c>
      <c r="M4" s="144">
        <v>7.3380000000000001E-2</v>
      </c>
      <c r="N4" s="144">
        <v>7.2830000000000006E-2</v>
      </c>
      <c r="O4" s="144">
        <v>7.2290000000000007E-2</v>
      </c>
      <c r="P4" s="144">
        <v>7.177E-2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0.23307082516124414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0.14526274588470436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8.2676508729004672E-2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0.48499999999999993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0.65199999999999991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39.168999999999997</v>
      </c>
      <c r="D13" s="143">
        <v>38.412999999999997</v>
      </c>
      <c r="E13" s="143">
        <v>37.21</v>
      </c>
      <c r="F13" s="143">
        <v>36.14</v>
      </c>
      <c r="G13" s="143">
        <v>35.098999999999997</v>
      </c>
      <c r="H13" s="143">
        <v>34.027999999999999</v>
      </c>
      <c r="I13" s="143">
        <v>32.972000000000001</v>
      </c>
      <c r="J13" s="143">
        <v>32.137999999999998</v>
      </c>
      <c r="K13" s="143">
        <v>31.341000000000001</v>
      </c>
      <c r="L13" s="143">
        <v>30.501000000000001</v>
      </c>
      <c r="M13" s="143">
        <v>30.312000000000001</v>
      </c>
      <c r="N13" s="143">
        <v>28.937999999999999</v>
      </c>
      <c r="O13" s="143">
        <v>28.744</v>
      </c>
      <c r="P13" s="143">
        <v>28.2</v>
      </c>
    </row>
    <row r="14" spans="1:16" x14ac:dyDescent="0.25">
      <c r="B14" s="16" t="s">
        <v>170</v>
      </c>
      <c r="C14" s="143">
        <f>maternal_mortality</f>
        <v>2.65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0.17399999999999999</v>
      </c>
      <c r="E2" s="92">
        <f>food_insecure</f>
        <v>0.17399999999999999</v>
      </c>
      <c r="F2" s="92">
        <f>food_insecure</f>
        <v>0.17399999999999999</v>
      </c>
      <c r="G2" s="92">
        <f>food_insecure</f>
        <v>0.17399999999999999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0.17399999999999999</v>
      </c>
      <c r="F5" s="92">
        <f>food_insecure</f>
        <v>0.17399999999999999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0.10660500393461539</v>
      </c>
      <c r="D7" s="92">
        <f>diarrhoea_1_5mo/26</f>
        <v>0.11319935143961538</v>
      </c>
      <c r="E7" s="92">
        <f>diarrhoea_6_11mo/26</f>
        <v>0.11319935143961538</v>
      </c>
      <c r="F7" s="92">
        <f>diarrhoea_12_23mo/26</f>
        <v>7.8886267895000001E-2</v>
      </c>
      <c r="G7" s="92">
        <f>diarrhoea_24_59mo/26</f>
        <v>7.8886267895000001E-2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0.17399999999999999</v>
      </c>
      <c r="F8" s="92">
        <f>food_insecure</f>
        <v>0.17399999999999999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0.68</v>
      </c>
      <c r="E9" s="92">
        <f>IF(ISBLANK(comm_deliv), frac_children_health_facility,1)</f>
        <v>0.68</v>
      </c>
      <c r="F9" s="92">
        <f>IF(ISBLANK(comm_deliv), frac_children_health_facility,1)</f>
        <v>0.68</v>
      </c>
      <c r="G9" s="92">
        <f>IF(ISBLANK(comm_deliv), frac_children_health_facility,1)</f>
        <v>0.68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0.10660500393461539</v>
      </c>
      <c r="D11" s="92">
        <f>diarrhoea_1_5mo/26</f>
        <v>0.11319935143961538</v>
      </c>
      <c r="E11" s="92">
        <f>diarrhoea_6_11mo/26</f>
        <v>0.11319935143961538</v>
      </c>
      <c r="F11" s="92">
        <f>diarrhoea_12_23mo/26</f>
        <v>7.8886267895000001E-2</v>
      </c>
      <c r="G11" s="92">
        <f>diarrhoea_24_59mo/26</f>
        <v>7.8886267895000001E-2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0.17399999999999999</v>
      </c>
      <c r="I14" s="92">
        <f>food_insecure</f>
        <v>0.17399999999999999</v>
      </c>
      <c r="J14" s="92">
        <f>food_insecure</f>
        <v>0.17399999999999999</v>
      </c>
      <c r="K14" s="92">
        <f>food_insecure</f>
        <v>0.17399999999999999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0.625</v>
      </c>
      <c r="I17" s="92">
        <f>frac_PW_health_facility</f>
        <v>0.625</v>
      </c>
      <c r="J17" s="92">
        <f>frac_PW_health_facility</f>
        <v>0.625</v>
      </c>
      <c r="K17" s="92">
        <f>frac_PW_health_facility</f>
        <v>0.625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0.27</v>
      </c>
      <c r="I18" s="92">
        <f>frac_malaria_risk</f>
        <v>0.27</v>
      </c>
      <c r="J18" s="92">
        <f>frac_malaria_risk</f>
        <v>0.27</v>
      </c>
      <c r="K18" s="92">
        <f>frac_malaria_risk</f>
        <v>0.27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0.249</v>
      </c>
      <c r="M23" s="92">
        <f>famplan_unmet_need</f>
        <v>0.249</v>
      </c>
      <c r="N23" s="92">
        <f>famplan_unmet_need</f>
        <v>0.249</v>
      </c>
      <c r="O23" s="92">
        <f>famplan_unmet_need</f>
        <v>0.249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0.35487047318536802</v>
      </c>
      <c r="M24" s="92">
        <f>(1-food_insecure)*(0.49)+food_insecure*(0.7)</f>
        <v>0.52654000000000001</v>
      </c>
      <c r="N24" s="92">
        <f>(1-food_insecure)*(0.49)+food_insecure*(0.7)</f>
        <v>0.52654000000000001</v>
      </c>
      <c r="O24" s="92">
        <f>(1-food_insecure)*(0.49)+food_insecure*(0.7)</f>
        <v>0.52654000000000001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0.15208734565087201</v>
      </c>
      <c r="M25" s="92">
        <f>(1-food_insecure)*(0.21)+food_insecure*(0.3)</f>
        <v>0.22566</v>
      </c>
      <c r="N25" s="92">
        <f>(1-food_insecure)*(0.21)+food_insecure*(0.3)</f>
        <v>0.22566</v>
      </c>
      <c r="O25" s="92">
        <f>(1-food_insecure)*(0.21)+food_insecure*(0.3)</f>
        <v>0.22566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0.16700897036376</v>
      </c>
      <c r="M26" s="92">
        <f>(1-food_insecure)*(0.3)</f>
        <v>0.24780000000000002</v>
      </c>
      <c r="N26" s="92">
        <f>(1-food_insecure)*(0.3)</f>
        <v>0.24780000000000002</v>
      </c>
      <c r="O26" s="92">
        <f>(1-food_insecure)*(0.3)</f>
        <v>0.24780000000000002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0.27</v>
      </c>
      <c r="D33" s="92">
        <f t="shared" si="3"/>
        <v>0.27</v>
      </c>
      <c r="E33" s="92">
        <f t="shared" si="3"/>
        <v>0.27</v>
      </c>
      <c r="F33" s="92">
        <f t="shared" si="3"/>
        <v>0.27</v>
      </c>
      <c r="G33" s="92">
        <f t="shared" si="3"/>
        <v>0.27</v>
      </c>
      <c r="H33" s="92">
        <f t="shared" si="3"/>
        <v>0.27</v>
      </c>
      <c r="I33" s="92">
        <f t="shared" si="3"/>
        <v>0.27</v>
      </c>
      <c r="J33" s="92">
        <f t="shared" si="3"/>
        <v>0.27</v>
      </c>
      <c r="K33" s="92">
        <f t="shared" si="3"/>
        <v>0.27</v>
      </c>
      <c r="L33" s="92">
        <f t="shared" si="3"/>
        <v>0.27</v>
      </c>
      <c r="M33" s="92">
        <f t="shared" si="3"/>
        <v>0.27</v>
      </c>
      <c r="N33" s="92">
        <f t="shared" si="3"/>
        <v>0.27</v>
      </c>
      <c r="O33" s="92">
        <f t="shared" si="3"/>
        <v>0.27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2020-03-24T06:50:03Z</dcterms:modified>
</cp:coreProperties>
</file>