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58B59897-CDC9-4AD8-BFF3-825DCA8D8CE5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I22" i="2" s="1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G32" i="2"/>
  <c r="H32" i="2"/>
  <c r="I32" i="2" s="1"/>
  <c r="G33" i="2"/>
  <c r="H33" i="2"/>
  <c r="I33" i="2" s="1"/>
  <c r="G34" i="2"/>
  <c r="H34" i="2"/>
  <c r="G35" i="2"/>
  <c r="H35" i="2"/>
  <c r="I35" i="2" s="1"/>
  <c r="G36" i="2"/>
  <c r="H36" i="2"/>
  <c r="I36" i="2" s="1"/>
  <c r="G37" i="2"/>
  <c r="H37" i="2"/>
  <c r="I37" i="2" s="1"/>
  <c r="G38" i="2"/>
  <c r="H38" i="2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H6" i="2"/>
  <c r="H7" i="2"/>
  <c r="H8" i="2"/>
  <c r="H9" i="2"/>
  <c r="I9" i="2" s="1"/>
  <c r="H10" i="2"/>
  <c r="I10" i="2" s="1"/>
  <c r="H11" i="2"/>
  <c r="H12" i="2"/>
  <c r="I12" i="2" s="1"/>
  <c r="H13" i="2"/>
  <c r="I13" i="2" s="1"/>
  <c r="H14" i="2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34" i="2"/>
  <c r="I38" i="2"/>
  <c r="I24" i="2"/>
  <c r="I18" i="2"/>
  <c r="I16" i="2"/>
  <c r="I31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I15" i="2" l="1"/>
  <c r="I14" i="2"/>
  <c r="I11" i="2"/>
  <c r="I8" i="2"/>
  <c r="I7" i="2"/>
  <c r="I6" i="2"/>
  <c r="I5" i="2"/>
  <c r="I4" i="2"/>
  <c r="I3" i="2"/>
  <c r="I2" i="2"/>
  <c r="C7" i="51"/>
  <c r="C6" i="51"/>
  <c r="C8" i="5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4571291C-5065-44A0-AB0E-F2757B795EE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4DE7190A-5189-445A-B624-DF28D9C44271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1263C880-A602-4F69-B1C3-ACB520F9F175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8DB17065-2D6D-4A56-AD51-5D8CD256A82C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8EF63D55-8ACA-45AD-9301-701DE17B89FB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0E91EDA3-41FC-4318-A5F3-36EC0AD79DEF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4CE7AD6E-1400-4A09-998E-B721A78C2AC9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07EE58BF-6007-48B7-9308-D1A44F90C7B7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8642F4D7-4170-4D14-8FB0-051352574B5A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FC0159B3-CDA5-44F5-B053-FF69258420C0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F90C2A19-B2D9-401E-858C-3017D14D88E6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1F88B804-0797-45C4-86B7-62E30248478F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2F6D1053-0C24-4664-AA9B-69863934F76A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52CAB8F8-CE0D-41A2-9A8F-F5D44980C268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AE27964E-CBE0-4FC0-B30A-0115F1B381F5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76235CE2-5D1E-4FC9-929E-6E3B10829F6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DF08326C-41D9-4055-B2F2-46801AD1841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72D3FD94-3BC2-4E90-9E06-9082805B13D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E319CF64-00EA-44F8-A635-B4DFEB28E47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82DA0F14-D6C2-4084-8555-F131CE104F35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033B5A52-95A3-4687-BAD3-DEF791D51182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532C44A2-415F-42F2-BEB3-E0939C8738C9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76397231-E017-4DA5-83CC-6DEBDFF1A889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8D28DB78-DB7F-495C-9FAE-1E32E41CD53C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111FF498-4B34-40B3-ACD5-7A00D4EF39A4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8648FD5D-8BE4-477B-A4D6-F92D6FFDD4A1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86647CEC-A285-44CB-A80E-FBB30432A710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0F4BCB6B-D1D5-42DE-AB90-8FD3D1CF0C1C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17C801AF-C670-48EC-850D-1B9D14CD4CE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FEC1E964-AFE9-483D-ABDF-101681F01FA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7EFF39D9-CCD6-4D6C-9F52-4F2A6FC1734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80A400BD-5EB9-4B15-909B-6B571EAC682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349F6A9F-2CDE-427E-BE5C-A1DDA939C05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A2A33441-7C6E-4DF5-AFC5-B35F5976D2AB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A0F77CB0-D863-4CE9-B6BB-F44EE13C60AB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A5A69277-83C5-4247-A87B-70821567C6E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3383E7F2-4EBD-473C-ABEE-4ACA7BF4A2A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11394B1B-85FC-41F5-9AA5-88D60425D75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38452986-08E0-4C8B-A1D6-CF962781417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16DC00C4-6CC4-4A03-BC6C-2AE6E8A9F6A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F26B9493-D99F-43B6-A1C4-46CE9035EF3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92FC6D53-F7BF-4C2E-9590-C3E855BB300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365230C9-E609-4BB8-9C58-AB482D7839E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70065EBE-8C6D-4EAD-B1AD-D5F5E1FB1D1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195D5073-8A14-4C6F-85CE-E94355036C0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ADA348BA-D61A-4014-A400-44A7100FE7C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59DCBF6E-F5A5-4D68-8D28-8688684EA6F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13860717-E314-43EE-B038-DACD80F96F8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E5DCB41D-35C9-4BA3-8E24-54514852EBF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87D2D7CC-51E2-4CB9-8164-71A63DA39A1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59D66EF3-6532-4E47-A88E-46629964126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824CC236-6A5D-43EF-B80B-E7EBE91FD04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F37671CE-15F7-4BC5-9E5C-184645245D6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35312CDB-B4EE-4F00-B574-E299B0BC94B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E4F2240D-D11E-41A2-848D-F38FC1AA316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AC053013-40EE-41E3-930A-AE3C7E19FF9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7E5A54B4-ADF3-49C4-AF74-CF2F21B1A8A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45B61CE6-0AF7-484F-A4BB-498F748BF7D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3BFDE5BA-B929-4737-ADD3-859F35DA101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DA59BC9C-E44F-4CD5-ABE7-F5186F3D8AF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F734291E-08EC-48F3-9733-521AC812827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7299F7F5-BBB5-4554-AD61-D7CDE642972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CC5DEE55-1CED-4390-A55F-9D2D6B2FD70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9AAAF85C-64F2-4C12-9BDC-CC539414F00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E48C82C3-398D-4838-83B5-828F3B62C7A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03090E89-1718-4723-B956-EC54DA48CA7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B4E40F49-71C9-4800-BA9A-1798DA64F71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2E71DA76-7247-470E-9CA3-5319A2827EE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277DE09F-862D-40AA-82DA-B74ADB6FDB6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C088B18D-BEE3-4BC9-B675-434DEE8BEE8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6B310417-CAA1-4BD8-A6CE-3D2124417CE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B7ACC5AE-8599-45DB-91F6-CEADF5E43E5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092209DA-15EF-4F21-B347-30971D64F92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41E460E7-C3B5-4781-897B-F764A396AEF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F6E4EEC7-D7F0-4268-A78E-CDCD035EF89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D05C53B9-55BB-4DA5-B906-5AA06BC6FB9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3BAA22F4-60AE-4D75-9DD1-A312457EE2E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142043CB-3DA1-4CC8-9D54-3A7419B9AFA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DFCFF307-F9A9-4492-BD12-7BA7473F32A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436F3E4E-F695-4B69-BB54-0CF53585F53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F4BD36F5-964E-49D1-9429-89679714114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BDBD7D8F-3DBD-4C87-8410-96BD80E0184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252A2F20-682B-4175-A094-AA886F4FFDB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FC2F5401-B00E-479F-80F5-57B77BCA140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C3FE426D-4E79-4C45-A07E-9AB35FC9EBD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014C7B37-5116-472D-B4AB-BEC02AE11CF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BD5DD6B6-43CC-43D9-A569-9EF657790A6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845A8BE5-8735-4498-9C3E-EEC39616A33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14555F93-1E07-4200-8E58-36D18A6E93A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E439A8D1-A29E-423D-81E4-707E36EDE88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F1358854-AD2B-4B0D-A283-8DCD238D2A4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94EDFE6D-E81F-4816-8ED6-01BB236FF96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AFEBA8E7-B52F-4C80-89E9-BCF051D9135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A98CE9F8-A3E2-46C4-9CA5-B8D5170A74A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9D51ED9B-5BA2-4A6A-AE9E-488C8E8CB6A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6A740AB1-C2CB-446C-8511-75ECB2224F3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2CD339FE-6E29-4BBB-B662-4344698C83D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92AC9C9F-EF96-43F5-94FE-DEDCB006C06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3F748275-632C-4D5C-A4F7-E2487D3CDA9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E2668FCE-9FAB-4B29-B39B-FC0DFEDE043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10FD59FD-FCD0-4E9A-A2D9-0C82ACAFDB2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63FBCF9E-3F9C-4C7C-B990-D7275669083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389E36FC-9227-4E82-BED4-1A59DA50436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738BDC22-8772-468D-B99C-22CD0287B6A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344B02A5-6932-41EE-92BC-3E504DCF548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2C984C72-42C6-4DD2-B9CF-7D635CDBD83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747FAC6B-90E3-4FBA-B15A-CF0391FCD2E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1C9B6AD8-6EDA-4997-B162-6439892BB04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9396D2BE-B189-4514-B2BE-1DC710F896D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35BD3D97-24C5-4A62-AE11-F257DE03FA2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B2D9600D-F5C7-4C9F-A62E-9CDB88D10C4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2FC9CA86-2DE0-46F9-8892-4A6D71FDEC6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7F7DB07A-4B60-4DEA-B713-9D642E64F59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5B471318-E0B6-4988-9994-24F5156185B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AA25BEF2-4C2A-4596-A8E9-E7D6C845A39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C2458CAF-401E-4FE5-8F26-00E58547727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1E2300D2-AEC4-466F-A478-40AED0DC5CA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8E8A3DDB-1DAE-4965-A75C-BECBF270E00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E06D35B0-AACC-42F4-81F9-C00958032F7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DBBAA7EA-09DD-4284-B302-65F13FD2807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93126870-9471-4D54-A15A-6BBA17DB483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563B5862-F3BE-4EE6-A271-88640CCF9AC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C883B7C0-1215-49DB-B546-80092A7B19A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03F9EE44-9F93-4505-996D-88C4DDB241A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8FC185B5-5025-4781-954B-593AA85E8A9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78D58C63-32B1-4ADC-B228-0A3F8AB82E2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FB701034-41FE-4037-9823-5D02A8F6CB9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8B60BA1A-F0A0-4A54-B818-C9361404BBA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4A0F8C43-BBC4-43E8-8CBC-7C6B7499B37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F57540CC-27EA-47DA-8CDC-358420EE8EF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1C53A327-281F-4A4B-873B-E06C1CBA2BE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E27D64D4-D9C3-45E8-8B13-DD06C734303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89A45CCD-C2C2-4B77-8E38-658C631C283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C019005B-48E0-49E6-BBFD-1611C8B4516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E87AAE83-ABD7-4DAA-B064-24FAD803EFB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BB6DE5F3-8B32-4A51-815D-B1FD35507E3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02E17A9A-CA55-4CD0-9ECC-B121826E12D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481DCD4D-46B8-4999-A42E-6FC662EE3E5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1C912A8D-84C9-42E5-94A0-B6674215776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108588D0-B758-4F78-B508-72D1FED8864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5E8ADBE5-04C2-41AE-8BB3-26B3AB6AAD4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BD637A8E-6A2C-43C1-B0E6-2E779E2F40B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E4517C69-E300-46A1-9367-4850451F917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D76457C1-CDCD-4AB9-94BA-CE73A3A778A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8ADC7856-9626-4FDB-A7B1-9DFF8FC6ADA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9B391283-6430-4E9A-ADB1-242FE334C64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E677AA8C-A145-4888-8325-05F355791C1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79F218DB-A81E-4EE6-A6CF-6FCD57693C7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4CDD53D0-DAC3-40F0-B5B7-3359DE324D1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B6D440DB-3677-4628-A1D6-BA6118D464B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D15DEA7A-1AC4-4AC2-A515-9E8AA3723283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00526AD5-98AD-4035-9E10-76984CB77348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2A1A3E0D-D8BC-4FAE-A1CD-4C856C24F9FD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960B9435-9A2C-4D54-986D-D35BC0EA197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5852FE6D-D413-43C3-866E-789D9204167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60437F3C-0013-400A-97C1-CED295448F9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4FAF9014-D46D-4AD5-B8BE-ACA19B7A2D5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B0976F3B-660C-4302-8DF9-313D2BE17FD7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E3FAE59A-33E9-4E65-99E6-D273A1A9A0F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546DFB02-CE96-4D48-9701-98B97B3AD24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B39AF80E-578B-44BA-A907-D955BF92D76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7FCD47DF-6BDF-4074-A374-BA4D5CEC210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C8C9400E-76F8-4FB4-96E1-592799C05F2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45936F9C-26EA-4E48-B2C4-8187D3FFE19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ABA6B93A-DB5D-4E56-BB3A-C2E37F89141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184DD9BB-526F-466E-B85B-42295F46CA9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B3B4F019-CC11-45C7-B013-10A076795FB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2D41CFB2-E449-4B95-A28A-8B36A8B8D03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287A06E9-7906-47C0-963D-82E7A979F6E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536A318F-34F3-419B-AE61-BA81EAE417B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942F69F9-CEAD-4C8A-B55A-15C72BBF969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4F1BB64C-C573-46A8-AD5F-D7ABBE79E80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E66AD2C8-D98B-4E1F-818C-5048095D2C3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0657C87B-E177-4138-A3C4-A26D2B950D7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D11350A4-E504-4E65-915C-6393BB5FB54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475E8CBF-EBAF-46CD-8FAE-67E3EBABFCA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ECB9B8B9-F335-42AE-A330-F9E9F7915BE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59682AEA-42E6-4053-B5D6-9FB7960021D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2FCF4EF2-65DB-40AB-AD31-2DE11EBB18E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C22078C4-57C5-4153-ACF5-D2FD9B49665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837EAB29-1F97-4EFF-B8CB-B39EAFFFB3A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804F05C1-C08A-48DF-BB63-68E22973DB7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68209DB8-FFE2-4DB2-BF26-BC0320F129D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D6EDF3B9-55A4-418C-B429-731FB3B25C4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7563EB87-8939-4386-8D87-5141D99B3F9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DA24439D-153A-40D1-8981-73781FFBC71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8B7DB9BA-350E-4D4A-A91E-C0D2C24440A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DDD97C86-60D7-4DD5-A4CC-4C706944846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B1074C8C-FA0B-4A47-931B-5CFC57AC11F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832253DF-AE4B-45D7-8925-B78370DB125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D9892E09-C2F8-4D7D-A3C5-FC9026A9A55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FE22DECC-1F36-4067-AB78-65BD0222299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CEC6AA7B-134A-4D6A-B325-8BAF49E3815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C1C9CE00-CD0E-4DF1-9767-4C3F265B82F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9370D795-8702-4BA6-8006-B664D21BA7E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63A572F1-DB42-4A18-A6CE-58683625DCD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5B3A0726-9045-4DAC-84AA-028D1DA72E3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D8DF5053-9CDD-4690-A829-FD332BFE539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C9F10416-E002-4E75-86E3-4C45E4B92BA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C1DBD71B-0FBA-4B1D-B3B4-6490163D15F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80930C84-5058-4A48-802A-548298B1392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C50FD434-6056-43EE-A0BD-B63B4F95074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ABA09C1D-09BD-4BBA-9CFD-BAE5631CF9A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1CFE4453-190D-4339-AD37-F3026D54709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3F61EAB9-8F6E-449E-9E22-91F89A29D187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21952065-5139-4A6A-A93F-C550C0281D1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F36D246F-356C-498C-81DF-25A0FAB1A36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0382D0B3-C750-4FD4-8A7F-9814922E3C7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E256DCB5-DABA-4C88-873C-2BBF6FC7642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65CC423F-809E-4882-AD8F-1F057275F2C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D4056BB4-6D7D-4BDD-93EC-7196C12686E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3D1FE931-229A-4178-A273-F1428F21B07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8D71F6C4-960C-40CE-8A44-96DB1224705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DE412D44-7784-4BA6-A442-D463DCAC97ED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A6A8EA05-1B1A-4057-98CE-409032B5A7B7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B8145539-C10B-46D7-B2F6-517D2BA93E5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93BCE93B-A1DC-4E0E-95C1-FB978C9228E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BA05785A-DDB2-4F0B-8320-E711B8F54AA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CFDBFB62-DB90-45DD-9EA9-90A5BC5130A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01F8E5E7-2C9B-4B5D-B158-FF4A767484D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019473EE-D252-4FF2-B95B-C5449C7C1D4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E5178AC5-65D3-4671-AD51-808F0984A75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508879DB-7C71-4D0D-872D-155E0C25D28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061D6E3B-C544-4B72-9BCE-964B1B2EBC3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22C4B71F-2D1B-45B1-B686-B5DA050A23F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368DC020-CF75-43B7-B6E8-A41E954DAB7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EC89421C-5868-46D8-84DA-0F4E6D9F1CD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A07815AF-856B-446B-8F4B-3F2F1713FC4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673725B7-F83A-436B-B91B-B55F930B862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CFC6610C-8FC9-4BD4-AABD-A7E56E9B48F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1A5AFF3B-50F5-4E2A-81DB-DA1D318296D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2BF0D9D7-972A-43B8-B796-7045CF362EC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078ED773-FEE9-44B3-B38C-35F95C30E55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6020B8F2-76BF-4037-872F-FC80CFA6AC7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9942AA13-5A9E-4640-97C2-850AB7F13CB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922E201D-CE22-4D81-9CDE-83DF45451F4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618522CB-E91A-4FB4-B73B-90EF4960F96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21FD2F8E-526F-48FD-A852-70E0C7DC562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DE68BAA7-62F8-4A34-8F9B-753A980A9A7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049D0759-184D-46CA-8850-890579DB3AB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29E03821-E6A9-4BA7-8A61-78FD6ED29DD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DB051D99-00DC-4CA8-9388-98DF875CDF8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D59C4371-817D-4A24-A288-7D3D821FA1C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B3793F93-EE61-460A-BDE5-434A1C09DF8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130FD5A7-556E-49A2-88AF-7E0ECB33411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CB9A781B-528F-4928-83D2-9BFF2938B4D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84D45EA5-D5A4-44E5-B94C-D8B671A2600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34081C06-555C-4F49-B3E1-341A1234B79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7D326EB3-A50D-4911-9A91-80A7E4C3448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7EBB6D1E-7E1C-41AA-8F4C-CB080CD9111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16F7D295-4DD5-4A84-97C4-E250DB73FEB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EB68DCF0-9608-46CE-A7AD-BD5CDA4356C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1C611AA2-71BB-4950-9F72-B94BC136D02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9346EEC6-4A09-479B-8D5E-6D943B8FB18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A59C48B3-217E-4F65-ADCF-A9A7C3DB06F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166080C6-E1CE-4865-8405-5168C386FF2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0CB05CBF-25EF-4B8B-B54C-108109CE432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28C0C0DC-2D5B-48E8-8D4A-6B5C63F5712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BE50473C-7015-424F-8F60-588F1A185BE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5FC8893C-4240-4160-891E-836E85012C6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91525819-FC3F-40F4-9CED-99A19CD3309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2E1B39AE-2BDE-4B37-81D4-36F9C9C6DBF0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E239F9AB-CA84-4978-9226-A790F2153DD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199D5E43-8D03-4706-B245-070DF83BFBB1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242EEBE0-11F0-461D-978D-C3A13DF08A8C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8EA341CC-E313-4911-B3C2-867E6E09848B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F3327731-BD92-40D1-9837-DFEE8678E11C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34ECC33C-9CB4-4A53-B516-686D983460D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37893888-F531-43E0-B62B-ED7D25427FB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C25A9489-F0A6-4C20-A828-78DAC37558E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ED30EC70-2122-483A-9475-683EF79D673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4537B7AB-F878-4FCB-8DE3-BC2A0145B9B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68A997BD-DE68-4447-ACF1-17189A3CEB8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5150193E-9B38-4339-B972-8B50F552DD9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2204737A-B363-4C11-893D-7D94518DD778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B4C2D9FD-72C7-413B-B489-FD6471973615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B78C7491-AF34-48A9-A5D2-68CBEC3599F5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1ED6DD70-FAA3-4702-83B2-5B7375FA5880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C9C477E7-7783-4DD8-BC02-255BE178D831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F2303F7D-0DF5-4456-9F32-DF239E92079B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3D51FB38-FDEB-4DEE-92DD-61C7B96822E2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95459017-64EC-4FF0-A427-C45F715BB2AA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AB69C670-C020-454D-AAF2-97FF50C40C6C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0DD866AC-7E0E-47EE-99C4-AE2A9A397C1F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E29515DC-FC2C-4937-BD5A-5343C71563AD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22ED896F-8281-465F-9B87-7E9638BE1372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9188DF3A-3520-491B-A8B7-25EEEBEDECAF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8BB4E9B2-6AA7-4A18-9F3F-C4CB25580367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F67FE07D-E523-4132-88D4-9B00402F580B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0F668B97-64AB-45B4-B503-149D1D347212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3DB30AA7-230A-4AF1-9A03-36B194255CF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14922D24-DCFC-47F3-804F-210EF343055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AE499E76-8124-4F60-B735-1BBB2C916A7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4721FE10-F254-408D-8727-958D0E1DC73F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2382A700-8E1B-4853-BD92-B82AF717723A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506BB8A8-63D8-4233-BE44-AD7E9B7B95C5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0DD701AE-99B9-4186-91B0-A7858F8112D8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5C76023D-AB71-4EF3-B079-2206EFA58E94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CD228A91-168D-44FF-B3F6-30246CA3339D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F64EB09B-3730-40D1-8DBF-CCA948A5D056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9E5A894A-8014-4A43-BCF9-BD49B57F7084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CCDE42A0-025E-4F81-8482-2CA0C1CDACD0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7E6A1CE6-474B-440A-85E4-D64B25650CDE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84372387-13EB-468A-8EF7-FC76BDCC97E0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9BCB0A66-2A84-4876-AA2B-9C43BC45FE3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77D5A76E-89D1-4A1F-929F-9D094685345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529E9C7D-D7BA-4B7E-92E0-D878F42F5667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8" authorId="0" shapeId="0" xr:uid="{1A3E2A04-C77D-40BF-B14E-D02AE87C23B9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CC4F3C0D-FD19-4303-977A-78158FBFD45D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F19727B9-F2D1-4FAF-986A-C3959EA8A51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2D298AC6-4330-436B-AA20-E07AB8914283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E6AE4DAA-ED05-49F9-A015-EBA5AFB7496E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BC31E04F-622F-49F8-838C-B38D68D4B58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643E12E1-3FD3-47D6-BFC0-11963D00CD95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6107AEA1-3832-4EB8-9361-E4B3319D101A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0785760A-A52B-47CB-8314-867D176D467B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D7789337-FFD6-4718-A411-1D8DB6E897C2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8BD2C3F7-91E7-4A2F-B62C-8A425EA2E551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F0275F38-D22F-4FFD-ADFC-CCBD0A638795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018AD82E-8C57-4965-BA33-4A614A292ADB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FB6CCFBD-1C88-4B55-953E-B1CEF681AB9D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939A7076-186A-4299-BBF6-914F5E0B1B63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D51C95E4-4358-424A-9A77-A4808F686769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<sst xmlns="http://schemas.openxmlformats.org/spreadsheetml/2006/main" count="1102" uniqueCount="271">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</sst>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673857</v>
      </c>
    </row>
    <row r="8" spans="1:3" ht="15" customHeight="1" x14ac:dyDescent="0.25">
      <c r="B8" s="7" t="s">
        <v>106</v>
      </c>
      <c r="C8" s="70">
        <v>0.26400000000000001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0.66318046569824207</v>
      </c>
    </row>
    <row r="11" spans="1:3" ht="15" customHeight="1" x14ac:dyDescent="0.25">
      <c r="B11" s="7" t="s">
        <v>108</v>
      </c>
      <c r="C11" s="70">
        <v>0.77400000000000002</v>
      </c>
    </row>
    <row r="12" spans="1:3" ht="15" customHeight="1" x14ac:dyDescent="0.25">
      <c r="B12" s="7" t="s">
        <v>109</v>
      </c>
      <c r="C12" s="70">
        <v>0.89400000000000002</v>
      </c>
    </row>
    <row r="13" spans="1:3" ht="15" customHeight="1" x14ac:dyDescent="0.25">
      <c r="B13" s="7" t="s">
        <v>110</v>
      </c>
      <c r="C13" s="70">
        <v>0.17399999999999999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0.1144</v>
      </c>
    </row>
    <row r="24" spans="1:3" ht="15" customHeight="1" x14ac:dyDescent="0.25">
      <c r="B24" s="20" t="s">
        <v>102</v>
      </c>
      <c r="C24" s="71">
        <v>0.50659999999999994</v>
      </c>
    </row>
    <row r="25" spans="1:3" ht="15" customHeight="1" x14ac:dyDescent="0.25">
      <c r="B25" s="20" t="s">
        <v>103</v>
      </c>
      <c r="C25" s="71">
        <v>0.32170000000000004</v>
      </c>
    </row>
    <row r="26" spans="1:3" ht="15" customHeight="1" x14ac:dyDescent="0.25">
      <c r="B26" s="20" t="s">
        <v>104</v>
      </c>
      <c r="C26" s="71">
        <v>5.7299999999999997E-2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11.1</v>
      </c>
    </row>
    <row r="38" spans="1:5" ht="15" customHeight="1" x14ac:dyDescent="0.25">
      <c r="B38" s="16" t="s">
        <v>91</v>
      </c>
      <c r="C38" s="75">
        <v>17.899999999999999</v>
      </c>
      <c r="D38" s="17"/>
      <c r="E38" s="18"/>
    </row>
    <row r="39" spans="1:5" ht="15" customHeight="1" x14ac:dyDescent="0.25">
      <c r="B39" s="16" t="s">
        <v>90</v>
      </c>
      <c r="C39" s="75">
        <v>21</v>
      </c>
      <c r="D39" s="17"/>
      <c r="E39" s="17"/>
    </row>
    <row r="40" spans="1:5" ht="15" customHeight="1" x14ac:dyDescent="0.25">
      <c r="B40" s="16" t="s">
        <v>171</v>
      </c>
      <c r="C40" s="75">
        <v>1.32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13.4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1.6299999999999999E-2</v>
      </c>
      <c r="D45" s="17"/>
    </row>
    <row r="46" spans="1:5" ht="15.75" customHeight="1" x14ac:dyDescent="0.25">
      <c r="B46" s="16" t="s">
        <v>11</v>
      </c>
      <c r="C46" s="71">
        <v>6.1399999999999996E-2</v>
      </c>
      <c r="D46" s="17"/>
    </row>
    <row r="47" spans="1:5" ht="15.75" customHeight="1" x14ac:dyDescent="0.25">
      <c r="B47" s="16" t="s">
        <v>12</v>
      </c>
      <c r="C47" s="71">
        <v>9.1700000000000004E-2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0.8306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2.3924591417575001</v>
      </c>
      <c r="D51" s="17"/>
    </row>
    <row r="52" spans="1:4" ht="15" customHeight="1" x14ac:dyDescent="0.25">
      <c r="B52" s="16" t="s">
        <v>125</v>
      </c>
      <c r="C52" s="76">
        <v>3.4758721651800002</v>
      </c>
    </row>
    <row r="53" spans="1:4" ht="15.75" customHeight="1" x14ac:dyDescent="0.25">
      <c r="B53" s="16" t="s">
        <v>126</v>
      </c>
      <c r="C53" s="76">
        <v>3.4758721651800002</v>
      </c>
    </row>
    <row r="54" spans="1:4" ht="15.75" customHeight="1" x14ac:dyDescent="0.25">
      <c r="B54" s="16" t="s">
        <v>127</v>
      </c>
      <c r="C54" s="76">
        <v>2.6206666333199999</v>
      </c>
    </row>
    <row r="55" spans="1:4" ht="15.75" customHeight="1" x14ac:dyDescent="0.25">
      <c r="B55" s="16" t="s">
        <v>128</v>
      </c>
      <c r="C55" s="76">
        <v>2.6206666333199999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1.9347037484885126E-2</v>
      </c>
    </row>
    <row r="59" spans="1:4" ht="15.75" customHeight="1" x14ac:dyDescent="0.25">
      <c r="B59" s="16" t="s">
        <v>132</v>
      </c>
      <c r="C59" s="70">
        <v>0.54671681971830577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57.606667746332491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39.870654846835585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407.77420725897525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0.96257147415530553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1.4701205613174808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1.4701205613174808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1.4701205613174808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1.4701205613174808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13.002954290631498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13.002954290631498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0.70972009052684637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0.70400000000000007</v>
      </c>
      <c r="C18" s="85">
        <v>0.95</v>
      </c>
      <c r="D18" s="87">
        <v>9.4026515569123248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9.4026515569123248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9.4026515569123248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12.071307465378538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22.434109984381625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4.2735719414984246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18.569028333816906</v>
      </c>
      <c r="E24" s="86" t="s">
        <v>202</v>
      </c>
    </row>
    <row r="25" spans="1:5" ht="15.75" customHeight="1" x14ac:dyDescent="0.25">
      <c r="A25" s="52" t="s">
        <v>87</v>
      </c>
      <c r="B25" s="85">
        <v>0.68400000000000005</v>
      </c>
      <c r="C25" s="85">
        <v>0.95</v>
      </c>
      <c r="D25" s="86">
        <v>18.565032572385192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86">
        <v>5.1982266087035347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7.2475300810295877</v>
      </c>
      <c r="E27" s="86" t="s">
        <v>202</v>
      </c>
    </row>
    <row r="28" spans="1:5" ht="15.75" customHeight="1" x14ac:dyDescent="0.25">
      <c r="A28" s="52" t="s">
        <v>84</v>
      </c>
      <c r="B28" s="85">
        <v>0.24</v>
      </c>
      <c r="C28" s="85">
        <v>0.95</v>
      </c>
      <c r="D28" s="86">
        <v>2.416683519080626</v>
      </c>
      <c r="E28" s="86" t="s">
        <v>202</v>
      </c>
    </row>
    <row r="29" spans="1:5" ht="15.75" customHeight="1" x14ac:dyDescent="0.25">
      <c r="A29" s="52" t="s">
        <v>58</v>
      </c>
      <c r="B29" s="85">
        <v>0.70400000000000007</v>
      </c>
      <c r="C29" s="85">
        <v>0.95</v>
      </c>
      <c r="D29" s="86">
        <v>112.68318125046407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0.38594540069210115</v>
      </c>
      <c r="E30" s="86" t="s">
        <v>202</v>
      </c>
    </row>
    <row r="31" spans="1:5" ht="15.75" customHeight="1" x14ac:dyDescent="0.25">
      <c r="A31" s="52" t="s">
        <v>28</v>
      </c>
      <c r="B31" s="85">
        <v>0.22</v>
      </c>
      <c r="C31" s="85">
        <v>0.95</v>
      </c>
      <c r="D31" s="86">
        <v>1.5229281476965582</v>
      </c>
      <c r="E31" s="86" t="s">
        <v>202</v>
      </c>
    </row>
    <row r="32" spans="1:5" ht="15.75" customHeight="1" x14ac:dyDescent="0.25">
      <c r="A32" s="52" t="s">
        <v>83</v>
      </c>
      <c r="B32" s="85">
        <v>0.17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0.222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0.8859999999999999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0.98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0.82900000000000007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7.0999999999999994E-2</v>
      </c>
      <c r="C37" s="85">
        <v>0.95</v>
      </c>
      <c r="D37" s="86">
        <v>5.5334670981932863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1.544050353810998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2.3924591417575001</v>
      </c>
      <c r="C2" s="26">
        <f>'Baseline year population inputs'!C52</f>
        <v>3.4758721651800002</v>
      </c>
      <c r="D2" s="26">
        <f>'Baseline year population inputs'!C53</f>
        <v>3.4758721651800002</v>
      </c>
      <c r="E2" s="26">
        <f>'Baseline year population inputs'!C54</f>
        <v>2.6206666333199999</v>
      </c>
      <c r="F2" s="26">
        <f>'Baseline year population inputs'!C55</f>
        <v>2.6206666333199999</v>
      </c>
    </row>
    <row r="3" spans="1:6" ht="15.75" customHeight="1" x14ac:dyDescent="0.25">
      <c r="A3" s="3" t="s">
        <v>65</v>
      </c>
      <c r="B3" s="26">
        <f>frac_mam_1month * 2.6</f>
        <v>6.3213157800000017E-2</v>
      </c>
      <c r="C3" s="26">
        <f>frac_mam_1_5months * 2.6</f>
        <v>6.3213157800000017E-2</v>
      </c>
      <c r="D3" s="26">
        <f>frac_mam_6_11months * 2.6</f>
        <v>5.8669153400000007E-3</v>
      </c>
      <c r="E3" s="26">
        <f>frac_mam_12_23months * 2.6</f>
        <v>1.3485114760000002E-2</v>
      </c>
      <c r="F3" s="26">
        <f>frac_mam_24_59months * 2.6</f>
        <v>9.9669041333333343E-3</v>
      </c>
    </row>
    <row r="4" spans="1:6" ht="15.75" customHeight="1" x14ac:dyDescent="0.25">
      <c r="A4" s="3" t="s">
        <v>66</v>
      </c>
      <c r="B4" s="26">
        <f>frac_sam_1month * 2.6</f>
        <v>5.5658940999999997E-2</v>
      </c>
      <c r="C4" s="26">
        <f>frac_sam_1_5months * 2.6</f>
        <v>5.5658940999999997E-2</v>
      </c>
      <c r="D4" s="26">
        <f>frac_sam_6_11months * 2.6</f>
        <v>0</v>
      </c>
      <c r="E4" s="26">
        <f>frac_sam_12_23months * 2.6</f>
        <v>6.4903953400000007E-3</v>
      </c>
      <c r="F4" s="26">
        <f>frac_sam_24_59months * 2.6</f>
        <v>4.089914573333334E-3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141307.16756199999</v>
      </c>
      <c r="C2" s="78">
        <v>329699</v>
      </c>
      <c r="D2" s="78">
        <v>630360</v>
      </c>
      <c r="E2" s="78">
        <v>2412072</v>
      </c>
      <c r="F2" s="78">
        <v>1973687</v>
      </c>
      <c r="G2" s="22">
        <f t="shared" ref="G2:G40" si="0">C2+D2+E2+F2</f>
        <v>5345818</v>
      </c>
      <c r="H2" s="22">
        <f t="shared" ref="H2:H40" si="1">(B2 + stillbirth*B2/(1000-stillbirth))/(1-abortion)</f>
        <v>164628.04751719011</v>
      </c>
      <c r="I2" s="22">
        <f>G2-H2</f>
        <v>5181189.9524828102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141487.35699999999</v>
      </c>
      <c r="C3" s="78">
        <v>325000</v>
      </c>
      <c r="D3" s="78">
        <v>635000</v>
      </c>
      <c r="E3" s="78">
        <v>2448000</v>
      </c>
      <c r="F3" s="78">
        <v>2012000</v>
      </c>
      <c r="G3" s="22">
        <f t="shared" si="0"/>
        <v>5420000</v>
      </c>
      <c r="H3" s="22">
        <f t="shared" si="1"/>
        <v>164837.9748398657</v>
      </c>
      <c r="I3" s="22">
        <f t="shared" ref="I3:I15" si="3">G3-H3</f>
        <v>5255162.0251601338</v>
      </c>
    </row>
    <row r="4" spans="1:9" ht="15.75" customHeight="1" x14ac:dyDescent="0.25">
      <c r="A4" s="7">
        <f t="shared" si="2"/>
        <v>2019</v>
      </c>
      <c r="B4" s="77">
        <v>141613.5786666667</v>
      </c>
      <c r="C4" s="78">
        <v>321000</v>
      </c>
      <c r="D4" s="78">
        <v>640000</v>
      </c>
      <c r="E4" s="78">
        <v>2484000</v>
      </c>
      <c r="F4" s="78">
        <v>2050000</v>
      </c>
      <c r="G4" s="22">
        <f t="shared" si="0"/>
        <v>5495000</v>
      </c>
      <c r="H4" s="22">
        <f t="shared" si="1"/>
        <v>164985.02772399195</v>
      </c>
      <c r="I4" s="22">
        <f t="shared" si="3"/>
        <v>5330014.9722760078</v>
      </c>
    </row>
    <row r="5" spans="1:9" ht="15.75" customHeight="1" x14ac:dyDescent="0.25">
      <c r="A5" s="7">
        <f t="shared" si="2"/>
        <v>2020</v>
      </c>
      <c r="B5" s="77">
        <v>141680.36600000001</v>
      </c>
      <c r="C5" s="78">
        <v>319000</v>
      </c>
      <c r="D5" s="78">
        <v>642000</v>
      </c>
      <c r="E5" s="78">
        <v>2517000</v>
      </c>
      <c r="F5" s="78">
        <v>2089000</v>
      </c>
      <c r="G5" s="22">
        <f t="shared" si="0"/>
        <v>5567000</v>
      </c>
      <c r="H5" s="22">
        <f t="shared" si="1"/>
        <v>165062.8374237775</v>
      </c>
      <c r="I5" s="22">
        <f t="shared" si="3"/>
        <v>5401937.1625762228</v>
      </c>
    </row>
    <row r="6" spans="1:9" ht="15.75" customHeight="1" x14ac:dyDescent="0.25">
      <c r="A6" s="7">
        <f t="shared" si="2"/>
        <v>2021</v>
      </c>
      <c r="B6" s="77">
        <v>141296.86999999997</v>
      </c>
      <c r="C6" s="78">
        <v>317000</v>
      </c>
      <c r="D6" s="78">
        <v>643000</v>
      </c>
      <c r="E6" s="78">
        <v>2551000</v>
      </c>
      <c r="F6" s="78">
        <v>2127000</v>
      </c>
      <c r="G6" s="22">
        <f t="shared" si="0"/>
        <v>5638000</v>
      </c>
      <c r="H6" s="22">
        <f t="shared" si="1"/>
        <v>164616.05047871356</v>
      </c>
      <c r="I6" s="22">
        <f t="shared" si="3"/>
        <v>5473383.9495212864</v>
      </c>
    </row>
    <row r="7" spans="1:9" ht="15.75" customHeight="1" x14ac:dyDescent="0.25">
      <c r="A7" s="7">
        <f t="shared" si="2"/>
        <v>2022</v>
      </c>
      <c r="B7" s="77">
        <v>140825.84319999997</v>
      </c>
      <c r="C7" s="78">
        <v>318000</v>
      </c>
      <c r="D7" s="78">
        <v>642000</v>
      </c>
      <c r="E7" s="78">
        <v>2585000</v>
      </c>
      <c r="F7" s="78">
        <v>2164000</v>
      </c>
      <c r="G7" s="22">
        <f t="shared" si="0"/>
        <v>5709000</v>
      </c>
      <c r="H7" s="22">
        <f t="shared" si="1"/>
        <v>164067.28693224842</v>
      </c>
      <c r="I7" s="22">
        <f t="shared" si="3"/>
        <v>5544932.7130677514</v>
      </c>
    </row>
    <row r="8" spans="1:9" ht="15.75" customHeight="1" x14ac:dyDescent="0.25">
      <c r="A8" s="7">
        <f t="shared" si="2"/>
        <v>2023</v>
      </c>
      <c r="B8" s="77">
        <v>140307.38759999996</v>
      </c>
      <c r="C8" s="78">
        <v>320000</v>
      </c>
      <c r="D8" s="78">
        <v>640000</v>
      </c>
      <c r="E8" s="78">
        <v>2614000</v>
      </c>
      <c r="F8" s="78">
        <v>2201000</v>
      </c>
      <c r="G8" s="22">
        <f t="shared" si="0"/>
        <v>5775000</v>
      </c>
      <c r="H8" s="22">
        <f t="shared" si="1"/>
        <v>163463.26708934194</v>
      </c>
      <c r="I8" s="22">
        <f t="shared" si="3"/>
        <v>5611536.7329106582</v>
      </c>
    </row>
    <row r="9" spans="1:9" ht="15.75" customHeight="1" x14ac:dyDescent="0.25">
      <c r="A9" s="7">
        <f t="shared" si="2"/>
        <v>2024</v>
      </c>
      <c r="B9" s="77">
        <v>139703.71479999996</v>
      </c>
      <c r="C9" s="78">
        <v>322000</v>
      </c>
      <c r="D9" s="78">
        <v>638000</v>
      </c>
      <c r="E9" s="78">
        <v>2637000</v>
      </c>
      <c r="F9" s="78">
        <v>2239000</v>
      </c>
      <c r="G9" s="22">
        <f t="shared" si="0"/>
        <v>5836000</v>
      </c>
      <c r="H9" s="22">
        <f t="shared" si="1"/>
        <v>162759.9660741289</v>
      </c>
      <c r="I9" s="22">
        <f t="shared" si="3"/>
        <v>5673240.0339258714</v>
      </c>
    </row>
    <row r="10" spans="1:9" ht="15.75" customHeight="1" x14ac:dyDescent="0.25">
      <c r="A10" s="7">
        <f t="shared" si="2"/>
        <v>2025</v>
      </c>
      <c r="B10" s="77">
        <v>139035.16500000001</v>
      </c>
      <c r="C10" s="78">
        <v>323000</v>
      </c>
      <c r="D10" s="78">
        <v>636000</v>
      </c>
      <c r="E10" s="78">
        <v>2652000</v>
      </c>
      <c r="F10" s="78">
        <v>2276000</v>
      </c>
      <c r="G10" s="22">
        <f t="shared" si="0"/>
        <v>5887000</v>
      </c>
      <c r="H10" s="22">
        <f t="shared" si="1"/>
        <v>161981.08096772616</v>
      </c>
      <c r="I10" s="22">
        <f t="shared" si="3"/>
        <v>5725018.9190322738</v>
      </c>
    </row>
    <row r="11" spans="1:9" ht="15.75" customHeight="1" x14ac:dyDescent="0.25">
      <c r="A11" s="7">
        <f t="shared" si="2"/>
        <v>2026</v>
      </c>
      <c r="B11" s="77">
        <v>138270.89160000003</v>
      </c>
      <c r="C11" s="78">
        <v>323000</v>
      </c>
      <c r="D11" s="78">
        <v>633000</v>
      </c>
      <c r="E11" s="78">
        <v>2661000</v>
      </c>
      <c r="F11" s="78">
        <v>2314000</v>
      </c>
      <c r="G11" s="22">
        <f t="shared" si="0"/>
        <v>5931000</v>
      </c>
      <c r="H11" s="22">
        <f t="shared" si="1"/>
        <v>161090.67434658916</v>
      </c>
      <c r="I11" s="22">
        <f t="shared" si="3"/>
        <v>5769909.3256534105</v>
      </c>
    </row>
    <row r="12" spans="1:9" ht="15.75" customHeight="1" x14ac:dyDescent="0.25">
      <c r="A12" s="7">
        <f t="shared" si="2"/>
        <v>2027</v>
      </c>
      <c r="B12" s="77">
        <v>137406.79320000001</v>
      </c>
      <c r="C12" s="78">
        <v>323000</v>
      </c>
      <c r="D12" s="78">
        <v>630000</v>
      </c>
      <c r="E12" s="78">
        <v>2662000</v>
      </c>
      <c r="F12" s="78">
        <v>2352000</v>
      </c>
      <c r="G12" s="22">
        <f t="shared" si="0"/>
        <v>5967000</v>
      </c>
      <c r="H12" s="22">
        <f t="shared" si="1"/>
        <v>160083.96792886753</v>
      </c>
      <c r="I12" s="22">
        <f t="shared" si="3"/>
        <v>5806916.0320711322</v>
      </c>
    </row>
    <row r="13" spans="1:9" ht="15.75" customHeight="1" x14ac:dyDescent="0.25">
      <c r="A13" s="7">
        <f t="shared" si="2"/>
        <v>2028</v>
      </c>
      <c r="B13" s="77">
        <v>136498.68480000005</v>
      </c>
      <c r="C13" s="78">
        <v>322000</v>
      </c>
      <c r="D13" s="78">
        <v>628000</v>
      </c>
      <c r="E13" s="78">
        <v>2656000</v>
      </c>
      <c r="F13" s="78">
        <v>2389000</v>
      </c>
      <c r="G13" s="22">
        <f t="shared" si="0"/>
        <v>5995000</v>
      </c>
      <c r="H13" s="22">
        <f t="shared" si="1"/>
        <v>159025.98824244886</v>
      </c>
      <c r="I13" s="22">
        <f t="shared" si="3"/>
        <v>5835974.0117575508</v>
      </c>
    </row>
    <row r="14" spans="1:9" ht="15.75" customHeight="1" x14ac:dyDescent="0.25">
      <c r="A14" s="7">
        <f t="shared" si="2"/>
        <v>2029</v>
      </c>
      <c r="B14" s="77">
        <v>135511.70360000007</v>
      </c>
      <c r="C14" s="78">
        <v>322000</v>
      </c>
      <c r="D14" s="78">
        <v>625000</v>
      </c>
      <c r="E14" s="78">
        <v>2649000</v>
      </c>
      <c r="F14" s="78">
        <v>2425000</v>
      </c>
      <c r="G14" s="22">
        <f t="shared" si="0"/>
        <v>6021000</v>
      </c>
      <c r="H14" s="22">
        <f t="shared" si="1"/>
        <v>157876.11884307198</v>
      </c>
      <c r="I14" s="22">
        <f t="shared" si="3"/>
        <v>5863123.8811569279</v>
      </c>
    </row>
    <row r="15" spans="1:9" ht="15.75" customHeight="1" x14ac:dyDescent="0.25">
      <c r="A15" s="7">
        <f t="shared" si="2"/>
        <v>2030</v>
      </c>
      <c r="B15" s="77">
        <v>134447.60999999999</v>
      </c>
      <c r="C15" s="78">
        <v>323000</v>
      </c>
      <c r="D15" s="78">
        <v>624000</v>
      </c>
      <c r="E15" s="78">
        <v>2643000</v>
      </c>
      <c r="F15" s="78">
        <v>2461000</v>
      </c>
      <c r="G15" s="22">
        <f t="shared" si="0"/>
        <v>6051000</v>
      </c>
      <c r="H15" s="22">
        <f t="shared" si="1"/>
        <v>156636.41066148458</v>
      </c>
      <c r="I15" s="22">
        <f t="shared" si="3"/>
        <v>5894363.589338515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128.15404582322665</v>
      </c>
      <c r="I17" s="22">
        <f t="shared" si="4"/>
        <v>-128.15404582322665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7.540342250000001E-3</v>
      </c>
    </row>
    <row r="4" spans="1:8" ht="15.75" customHeight="1" x14ac:dyDescent="0.25">
      <c r="B4" s="24" t="s">
        <v>7</v>
      </c>
      <c r="C4" s="79">
        <v>0.13836388372616523</v>
      </c>
    </row>
    <row r="5" spans="1:8" ht="15.75" customHeight="1" x14ac:dyDescent="0.25">
      <c r="B5" s="24" t="s">
        <v>8</v>
      </c>
      <c r="C5" s="79">
        <v>2.4107383489584532E-2</v>
      </c>
    </row>
    <row r="6" spans="1:8" ht="15.75" customHeight="1" x14ac:dyDescent="0.25">
      <c r="B6" s="24" t="s">
        <v>10</v>
      </c>
      <c r="C6" s="79">
        <v>8.7259947394403348E-2</v>
      </c>
    </row>
    <row r="7" spans="1:8" ht="15.75" customHeight="1" x14ac:dyDescent="0.25">
      <c r="B7" s="24" t="s">
        <v>13</v>
      </c>
      <c r="C7" s="79">
        <v>0.2254011484142785</v>
      </c>
    </row>
    <row r="8" spans="1:8" ht="15.75" customHeight="1" x14ac:dyDescent="0.25">
      <c r="B8" s="24" t="s">
        <v>14</v>
      </c>
      <c r="C8" s="79">
        <v>6.1984497818554475E-4</v>
      </c>
    </row>
    <row r="9" spans="1:8" ht="15.75" customHeight="1" x14ac:dyDescent="0.25">
      <c r="B9" s="24" t="s">
        <v>27</v>
      </c>
      <c r="C9" s="79">
        <v>0.18203978070396226</v>
      </c>
    </row>
    <row r="10" spans="1:8" ht="15.75" customHeight="1" x14ac:dyDescent="0.25">
      <c r="B10" s="24" t="s">
        <v>15</v>
      </c>
      <c r="C10" s="79">
        <v>0.33466766904342049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6.1072558258337996E-2</v>
      </c>
      <c r="D14" s="79">
        <v>6.1072558258337996E-2</v>
      </c>
      <c r="E14" s="79">
        <v>1.12050160731636E-2</v>
      </c>
      <c r="F14" s="79">
        <v>1.12050160731636E-2</v>
      </c>
    </row>
    <row r="15" spans="1:8" ht="15.75" customHeight="1" x14ac:dyDescent="0.25">
      <c r="B15" s="24" t="s">
        <v>16</v>
      </c>
      <c r="C15" s="79">
        <v>0.13754698696421599</v>
      </c>
      <c r="D15" s="79">
        <v>0.13754698696421599</v>
      </c>
      <c r="E15" s="79">
        <v>2.3516780803577501E-2</v>
      </c>
      <c r="F15" s="79">
        <v>2.3516780803577501E-2</v>
      </c>
    </row>
    <row r="16" spans="1:8" ht="15.75" customHeight="1" x14ac:dyDescent="0.25">
      <c r="B16" s="24" t="s">
        <v>17</v>
      </c>
      <c r="C16" s="79">
        <v>2.9602735374964301E-2</v>
      </c>
      <c r="D16" s="79">
        <v>2.9602735374964301E-2</v>
      </c>
      <c r="E16" s="79">
        <v>6.1230304047648594E-3</v>
      </c>
      <c r="F16" s="79">
        <v>6.1230304047648594E-3</v>
      </c>
    </row>
    <row r="17" spans="1:8" ht="15.75" customHeight="1" x14ac:dyDescent="0.25">
      <c r="B17" s="24" t="s">
        <v>18</v>
      </c>
      <c r="C17" s="79">
        <v>9.9013812439329797E-9</v>
      </c>
      <c r="D17" s="79">
        <v>9.9013812439329797E-9</v>
      </c>
      <c r="E17" s="79">
        <v>1.90009854641045E-8</v>
      </c>
      <c r="F17" s="79">
        <v>1.90009854641045E-8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1.2247815107805E-2</v>
      </c>
      <c r="D19" s="79">
        <v>1.2247815107805E-2</v>
      </c>
      <c r="E19" s="79">
        <v>8.9365954468430195E-3</v>
      </c>
      <c r="F19" s="79">
        <v>8.9365954468430195E-3</v>
      </c>
    </row>
    <row r="20" spans="1:8" ht="15.75" customHeight="1" x14ac:dyDescent="0.25">
      <c r="B20" s="24" t="s">
        <v>21</v>
      </c>
      <c r="C20" s="79">
        <v>3.9998953068098503E-2</v>
      </c>
      <c r="D20" s="79">
        <v>3.9998953068098503E-2</v>
      </c>
      <c r="E20" s="79">
        <v>0.78325700486702798</v>
      </c>
      <c r="F20" s="79">
        <v>0.78325700486702798</v>
      </c>
    </row>
    <row r="21" spans="1:8" ht="15.75" customHeight="1" x14ac:dyDescent="0.25">
      <c r="B21" s="24" t="s">
        <v>22</v>
      </c>
      <c r="C21" s="79">
        <v>7.4730409579889606E-2</v>
      </c>
      <c r="D21" s="79">
        <v>7.4730409579889606E-2</v>
      </c>
      <c r="E21" s="79">
        <v>6.2106034713781705E-2</v>
      </c>
      <c r="F21" s="79">
        <v>6.2106034713781705E-2</v>
      </c>
    </row>
    <row r="22" spans="1:8" ht="15.75" customHeight="1" x14ac:dyDescent="0.25">
      <c r="B22" s="24" t="s">
        <v>23</v>
      </c>
      <c r="C22" s="79">
        <v>0.64480053174530738</v>
      </c>
      <c r="D22" s="79">
        <v>0.64480053174530738</v>
      </c>
      <c r="E22" s="79">
        <v>0.10485551868985588</v>
      </c>
      <c r="F22" s="79">
        <v>0.10485551868985588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2.81E-2</v>
      </c>
    </row>
    <row r="27" spans="1:8" ht="15.75" customHeight="1" x14ac:dyDescent="0.25">
      <c r="B27" s="24" t="s">
        <v>39</v>
      </c>
      <c r="C27" s="79">
        <v>2.29E-2</v>
      </c>
    </row>
    <row r="28" spans="1:8" ht="15.75" customHeight="1" x14ac:dyDescent="0.25">
      <c r="B28" s="24" t="s">
        <v>40</v>
      </c>
      <c r="C28" s="79">
        <v>0.1724</v>
      </c>
    </row>
    <row r="29" spans="1:8" ht="15.75" customHeight="1" x14ac:dyDescent="0.25">
      <c r="B29" s="24" t="s">
        <v>41</v>
      </c>
      <c r="C29" s="79">
        <v>0.18539999999999998</v>
      </c>
    </row>
    <row r="30" spans="1:8" ht="15.75" customHeight="1" x14ac:dyDescent="0.25">
      <c r="B30" s="24" t="s">
        <v>42</v>
      </c>
      <c r="C30" s="79">
        <v>0.10640000000000001</v>
      </c>
    </row>
    <row r="31" spans="1:8" ht="15.75" customHeight="1" x14ac:dyDescent="0.25">
      <c r="B31" s="24" t="s">
        <v>43</v>
      </c>
      <c r="C31" s="79">
        <v>0.22570000000000001</v>
      </c>
    </row>
    <row r="32" spans="1:8" ht="15.75" customHeight="1" x14ac:dyDescent="0.25">
      <c r="B32" s="24" t="s">
        <v>44</v>
      </c>
      <c r="C32" s="79">
        <v>2.58E-2</v>
      </c>
    </row>
    <row r="33" spans="2:3" ht="15.75" customHeight="1" x14ac:dyDescent="0.25">
      <c r="B33" s="24" t="s">
        <v>45</v>
      </c>
      <c r="C33" s="79">
        <v>9.9399999999999988E-2</v>
      </c>
    </row>
    <row r="34" spans="2:3" ht="15.75" customHeight="1" x14ac:dyDescent="0.25">
      <c r="B34" s="24" t="s">
        <v>46</v>
      </c>
      <c r="C34" s="79">
        <v>0.13390000000223518</v>
      </c>
    </row>
    <row r="35" spans="2:3" ht="15.75" customHeight="1" x14ac:dyDescent="0.25">
      <c r="B35" s="32" t="s">
        <v>129</v>
      </c>
      <c r="C35" s="74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0.7802940617390558</v>
      </c>
      <c r="D2" s="80">
        <v>0.7802940617390558</v>
      </c>
      <c r="E2" s="80">
        <v>0.74341357493032645</v>
      </c>
      <c r="F2" s="80">
        <v>0.69164213201095681</v>
      </c>
      <c r="G2" s="80">
        <v>0.71431940406513805</v>
      </c>
    </row>
    <row r="3" spans="1:15" ht="15.75" customHeight="1" x14ac:dyDescent="0.25">
      <c r="A3" s="5"/>
      <c r="B3" s="11" t="s">
        <v>118</v>
      </c>
      <c r="C3" s="80">
        <v>0.1799878302411422</v>
      </c>
      <c r="D3" s="80">
        <v>0.1799878302411422</v>
      </c>
      <c r="E3" s="80">
        <v>0.21240387855152182</v>
      </c>
      <c r="F3" s="80">
        <v>0.22291775189993426</v>
      </c>
      <c r="G3" s="80">
        <v>0.20024047984575299</v>
      </c>
    </row>
    <row r="4" spans="1:15" ht="15.75" customHeight="1" x14ac:dyDescent="0.25">
      <c r="A4" s="5"/>
      <c r="B4" s="11" t="s">
        <v>116</v>
      </c>
      <c r="C4" s="81">
        <v>2.9249769471947192E-2</v>
      </c>
      <c r="D4" s="81">
        <v>2.9249769471947192E-2</v>
      </c>
      <c r="E4" s="81">
        <v>3.3714207970297019E-2</v>
      </c>
      <c r="F4" s="81">
        <v>5.7267969702970302E-2</v>
      </c>
      <c r="G4" s="81">
        <v>5.7267969702970302E-2</v>
      </c>
    </row>
    <row r="5" spans="1:15" ht="15.75" customHeight="1" x14ac:dyDescent="0.25">
      <c r="A5" s="5"/>
      <c r="B5" s="11" t="s">
        <v>119</v>
      </c>
      <c r="C5" s="81">
        <v>1.0468338547854785E-2</v>
      </c>
      <c r="D5" s="81">
        <v>1.0468338547854785E-2</v>
      </c>
      <c r="E5" s="81">
        <v>1.0468338547854785E-2</v>
      </c>
      <c r="F5" s="81">
        <v>2.8172146386138609E-2</v>
      </c>
      <c r="G5" s="81">
        <v>2.8172146386138609E-2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0.85182042923789469</v>
      </c>
      <c r="D8" s="80">
        <v>0.85182042923789469</v>
      </c>
      <c r="E8" s="80">
        <v>0.93276020039609209</v>
      </c>
      <c r="F8" s="80">
        <v>0.95630560342137083</v>
      </c>
      <c r="G8" s="80">
        <v>0.95960782916180887</v>
      </c>
    </row>
    <row r="9" spans="1:15" ht="15.75" customHeight="1" x14ac:dyDescent="0.25">
      <c r="B9" s="7" t="s">
        <v>121</v>
      </c>
      <c r="C9" s="80">
        <v>0.10245953276210526</v>
      </c>
      <c r="D9" s="80">
        <v>0.10245953276210526</v>
      </c>
      <c r="E9" s="80">
        <v>6.4983293703907818E-2</v>
      </c>
      <c r="F9" s="80">
        <v>3.6011508078629038E-2</v>
      </c>
      <c r="G9" s="80">
        <v>3.4985702104857623E-2</v>
      </c>
    </row>
    <row r="10" spans="1:15" ht="15.75" customHeight="1" x14ac:dyDescent="0.25">
      <c r="B10" s="7" t="s">
        <v>122</v>
      </c>
      <c r="C10" s="81">
        <v>2.4312753000000003E-2</v>
      </c>
      <c r="D10" s="81">
        <v>2.4312753000000003E-2</v>
      </c>
      <c r="E10" s="81">
        <v>2.2565059000000001E-3</v>
      </c>
      <c r="F10" s="81">
        <v>5.1865826000000005E-3</v>
      </c>
      <c r="G10" s="81">
        <v>3.833424666666667E-3</v>
      </c>
    </row>
    <row r="11" spans="1:15" ht="15.75" customHeight="1" x14ac:dyDescent="0.25">
      <c r="B11" s="7" t="s">
        <v>123</v>
      </c>
      <c r="C11" s="81">
        <v>2.1407284999999998E-2</v>
      </c>
      <c r="D11" s="81">
        <v>2.1407284999999998E-2</v>
      </c>
      <c r="E11" s="81">
        <v>0</v>
      </c>
      <c r="F11" s="81">
        <v>2.4963059000000002E-3</v>
      </c>
      <c r="G11" s="81">
        <v>1.5730440666666668E-3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0.33770807775</v>
      </c>
      <c r="D14" s="82">
        <v>0.33097332158499992</v>
      </c>
      <c r="E14" s="82">
        <v>0.33097332158499992</v>
      </c>
      <c r="F14" s="82">
        <v>0.254121780247</v>
      </c>
      <c r="G14" s="82">
        <v>0.254121780247</v>
      </c>
      <c r="H14" s="83">
        <v>0.32700000000000001</v>
      </c>
      <c r="I14" s="83">
        <v>0.32700000000000001</v>
      </c>
      <c r="J14" s="83">
        <v>0.32700000000000001</v>
      </c>
      <c r="K14" s="83">
        <v>0.32700000000000001</v>
      </c>
      <c r="L14" s="83">
        <v>0.321919837002</v>
      </c>
      <c r="M14" s="83">
        <v>0.259959126298</v>
      </c>
      <c r="N14" s="83">
        <v>0.3030596436895</v>
      </c>
      <c r="O14" s="83">
        <v>0.30567124316600003</v>
      </c>
    </row>
    <row r="15" spans="1:15" ht="15.75" customHeight="1" x14ac:dyDescent="0.25">
      <c r="B15" s="16" t="s">
        <v>68</v>
      </c>
      <c r="C15" s="80">
        <f>iron_deficiency_anaemia*C14</f>
        <v>0.18463068626066234</v>
      </c>
      <c r="D15" s="80">
        <f t="shared" ref="D15:O15" si="0">iron_deficiency_anaemia*D14</f>
        <v>0.18094868178855525</v>
      </c>
      <c r="E15" s="80">
        <f t="shared" si="0"/>
        <v>0.18094868178855525</v>
      </c>
      <c r="F15" s="80">
        <f t="shared" si="0"/>
        <v>0.13893265151779402</v>
      </c>
      <c r="G15" s="80">
        <f t="shared" si="0"/>
        <v>0.13893265151779402</v>
      </c>
      <c r="H15" s="80">
        <f t="shared" si="0"/>
        <v>0.178776400047886</v>
      </c>
      <c r="I15" s="80">
        <f t="shared" si="0"/>
        <v>0.178776400047886</v>
      </c>
      <c r="J15" s="80">
        <f t="shared" si="0"/>
        <v>0.178776400047886</v>
      </c>
      <c r="K15" s="80">
        <f t="shared" si="0"/>
        <v>0.178776400047886</v>
      </c>
      <c r="L15" s="80">
        <f t="shared" si="0"/>
        <v>0.17599898948996881</v>
      </c>
      <c r="M15" s="80">
        <f t="shared" si="0"/>
        <v>0.14212402678639194</v>
      </c>
      <c r="N15" s="80">
        <f t="shared" si="0"/>
        <v>0.16568780458288634</v>
      </c>
      <c r="O15" s="80">
        <f t="shared" si="0"/>
        <v>0.16711560994305644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8.6999999999999994E-2</v>
      </c>
      <c r="D2" s="81">
        <v>8.6999999999999994E-2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0.19399999999999998</v>
      </c>
      <c r="D3" s="81">
        <v>0.21600000000000003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0.28100000000000003</v>
      </c>
      <c r="D4" s="81">
        <v>0.28100000000000003</v>
      </c>
      <c r="E4" s="81">
        <v>0.36799999999999999</v>
      </c>
      <c r="F4" s="81">
        <v>0.58200000000000007</v>
      </c>
      <c r="G4" s="81">
        <v>0</v>
      </c>
    </row>
    <row r="5" spans="1:7" x14ac:dyDescent="0.25">
      <c r="B5" s="43" t="s">
        <v>169</v>
      </c>
      <c r="C5" s="80">
        <f>1-SUM(C2:C4)</f>
        <v>0.43799999999999994</v>
      </c>
      <c r="D5" s="80">
        <f>1-SUM(D2:D4)</f>
        <v>0.41599999999999993</v>
      </c>
      <c r="E5" s="80">
        <f>1-SUM(E2:E4)</f>
        <v>0.63200000000000001</v>
      </c>
      <c r="F5" s="80">
        <f>1-SUM(F2:F4)</f>
        <v>0.41799999999999993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6.2199999999999998E-2</v>
      </c>
      <c r="D2" s="144">
        <v>5.9560000000000002E-2</v>
      </c>
      <c r="E2" s="144">
        <v>5.704E-2</v>
      </c>
      <c r="F2" s="144">
        <v>5.4629999999999998E-2</v>
      </c>
      <c r="G2" s="144">
        <v>5.2350000000000001E-2</v>
      </c>
      <c r="H2" s="144">
        <v>5.0270000000000002E-2</v>
      </c>
      <c r="I2" s="144">
        <v>4.8280000000000003E-2</v>
      </c>
      <c r="J2" s="144">
        <v>4.6390000000000001E-2</v>
      </c>
      <c r="K2" s="144">
        <v>4.4569999999999999E-2</v>
      </c>
      <c r="L2" s="144">
        <v>4.2839999999999996E-2</v>
      </c>
      <c r="M2" s="144">
        <v>4.1180000000000001E-2</v>
      </c>
      <c r="N2" s="144">
        <v>3.959E-2</v>
      </c>
      <c r="O2" s="144">
        <v>3.8079999999999996E-2</v>
      </c>
      <c r="P2" s="144">
        <v>3.6639999999999999E-2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1.0669999999999999E-2</v>
      </c>
      <c r="D4" s="144">
        <v>1.0329999999999999E-2</v>
      </c>
      <c r="E4" s="144">
        <v>1.0019999999999999E-2</v>
      </c>
      <c r="F4" s="144">
        <v>9.7400000000000004E-3</v>
      </c>
      <c r="G4" s="144">
        <v>9.5099999999999994E-3</v>
      </c>
      <c r="H4" s="144">
        <v>9.3699999999999999E-3</v>
      </c>
      <c r="I4" s="144">
        <v>9.2399999999999999E-3</v>
      </c>
      <c r="J4" s="144">
        <v>9.11E-3</v>
      </c>
      <c r="K4" s="144">
        <v>8.9899999999999997E-3</v>
      </c>
      <c r="L4" s="144">
        <v>8.8699999999999994E-3</v>
      </c>
      <c r="M4" s="144">
        <v>8.7500000000000008E-3</v>
      </c>
      <c r="N4" s="144">
        <v>8.6400000000000001E-3</v>
      </c>
      <c r="O4" s="144">
        <v>8.539999999999999E-3</v>
      </c>
      <c r="P4" s="144">
        <v>8.4499999999999992E-3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0.14739722431314803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0.178776400047886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0.16083626744494833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8.699999999999998E-2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0.51066666666666671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13.968999999999999</v>
      </c>
      <c r="D13" s="143">
        <v>13.574</v>
      </c>
      <c r="E13" s="143">
        <v>13.202</v>
      </c>
      <c r="F13" s="143">
        <v>12.848000000000001</v>
      </c>
      <c r="G13" s="143">
        <v>12.516</v>
      </c>
      <c r="H13" s="143">
        <v>12.198</v>
      </c>
      <c r="I13" s="143">
        <v>11.897</v>
      </c>
      <c r="J13" s="143">
        <v>11.61</v>
      </c>
      <c r="K13" s="143">
        <v>11.337</v>
      </c>
      <c r="L13" s="143">
        <v>11.077</v>
      </c>
      <c r="M13" s="143">
        <v>10.835000000000001</v>
      </c>
      <c r="N13" s="143">
        <v>10.599</v>
      </c>
      <c r="O13" s="143">
        <v>10.369</v>
      </c>
      <c r="P13" s="143">
        <v>10.151</v>
      </c>
    </row>
    <row r="14" spans="1:16" x14ac:dyDescent="0.25">
      <c r="B14" s="16" t="s">
        <v>170</v>
      </c>
      <c r="C14" s="143">
        <f>maternal_mortality</f>
        <v>1.32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0.26400000000000001</v>
      </c>
      <c r="E2" s="92">
        <f>food_insecure</f>
        <v>0.26400000000000001</v>
      </c>
      <c r="F2" s="92">
        <f>food_insecure</f>
        <v>0.26400000000000001</v>
      </c>
      <c r="G2" s="92">
        <f>food_insecure</f>
        <v>0.26400000000000001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0.26400000000000001</v>
      </c>
      <c r="F5" s="92">
        <f>food_insecure</f>
        <v>0.26400000000000001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9.201765929836539E-2</v>
      </c>
      <c r="D7" s="92">
        <f>diarrhoea_1_5mo/26</f>
        <v>0.13368739096846155</v>
      </c>
      <c r="E7" s="92">
        <f>diarrhoea_6_11mo/26</f>
        <v>0.13368739096846155</v>
      </c>
      <c r="F7" s="92">
        <f>diarrhoea_12_23mo/26</f>
        <v>0.10079487051230769</v>
      </c>
      <c r="G7" s="92">
        <f>diarrhoea_24_59mo/26</f>
        <v>0.10079487051230769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0.26400000000000001</v>
      </c>
      <c r="F8" s="92">
        <f>food_insecure</f>
        <v>0.26400000000000001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0.89400000000000002</v>
      </c>
      <c r="E9" s="92">
        <f>IF(ISBLANK(comm_deliv), frac_children_health_facility,1)</f>
        <v>0.89400000000000002</v>
      </c>
      <c r="F9" s="92">
        <f>IF(ISBLANK(comm_deliv), frac_children_health_facility,1)</f>
        <v>0.89400000000000002</v>
      </c>
      <c r="G9" s="92">
        <f>IF(ISBLANK(comm_deliv), frac_children_health_facility,1)</f>
        <v>0.89400000000000002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9.201765929836539E-2</v>
      </c>
      <c r="D11" s="92">
        <f>diarrhoea_1_5mo/26</f>
        <v>0.13368739096846155</v>
      </c>
      <c r="E11" s="92">
        <f>diarrhoea_6_11mo/26</f>
        <v>0.13368739096846155</v>
      </c>
      <c r="F11" s="92">
        <f>diarrhoea_12_23mo/26</f>
        <v>0.10079487051230769</v>
      </c>
      <c r="G11" s="92">
        <f>diarrhoea_24_59mo/26</f>
        <v>0.10079487051230769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0.26400000000000001</v>
      </c>
      <c r="I14" s="92">
        <f>food_insecure</f>
        <v>0.26400000000000001</v>
      </c>
      <c r="J14" s="92">
        <f>food_insecure</f>
        <v>0.26400000000000001</v>
      </c>
      <c r="K14" s="92">
        <f>food_insecure</f>
        <v>0.26400000000000001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0.77400000000000002</v>
      </c>
      <c r="I17" s="92">
        <f>frac_PW_health_facility</f>
        <v>0.77400000000000002</v>
      </c>
      <c r="J17" s="92">
        <f>frac_PW_health_facility</f>
        <v>0.77400000000000002</v>
      </c>
      <c r="K17" s="92">
        <f>frac_PW_health_facility</f>
        <v>0.77400000000000002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5.0000000000000001E-3</v>
      </c>
      <c r="I18" s="92">
        <f>frac_malaria_risk</f>
        <v>5.0000000000000001E-3</v>
      </c>
      <c r="J18" s="92">
        <f>frac_malaria_risk</f>
        <v>5.0000000000000001E-3</v>
      </c>
      <c r="K18" s="92">
        <f>frac_malaria_risk</f>
        <v>5.0000000000000001E-3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0.17399999999999999</v>
      </c>
      <c r="M23" s="92">
        <f>famplan_unmet_need</f>
        <v>0.17399999999999999</v>
      </c>
      <c r="N23" s="92">
        <f>famplan_unmet_need</f>
        <v>0.17399999999999999</v>
      </c>
      <c r="O23" s="92">
        <f>famplan_unmet_need</f>
        <v>0.17399999999999999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0.18371484678955083</v>
      </c>
      <c r="M24" s="92">
        <f>(1-food_insecure)*(0.49)+food_insecure*(0.7)</f>
        <v>0.54543999999999992</v>
      </c>
      <c r="N24" s="92">
        <f>(1-food_insecure)*(0.49)+food_insecure*(0.7)</f>
        <v>0.54543999999999992</v>
      </c>
      <c r="O24" s="92">
        <f>(1-food_insecure)*(0.49)+food_insecure*(0.7)</f>
        <v>0.54543999999999992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7.8734934338378942E-2</v>
      </c>
      <c r="M25" s="92">
        <f>(1-food_insecure)*(0.21)+food_insecure*(0.3)</f>
        <v>0.23376000000000002</v>
      </c>
      <c r="N25" s="92">
        <f>(1-food_insecure)*(0.21)+food_insecure*(0.3)</f>
        <v>0.23376000000000002</v>
      </c>
      <c r="O25" s="92">
        <f>(1-food_insecure)*(0.21)+food_insecure*(0.3)</f>
        <v>0.23376000000000002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7.4369753173828143E-2</v>
      </c>
      <c r="M26" s="92">
        <f>(1-food_insecure)*(0.3)</f>
        <v>0.2208</v>
      </c>
      <c r="N26" s="92">
        <f>(1-food_insecure)*(0.3)</f>
        <v>0.2208</v>
      </c>
      <c r="O26" s="92">
        <f>(1-food_insecure)*(0.3)</f>
        <v>0.2208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0.66318046569824207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5.0000000000000001E-3</v>
      </c>
      <c r="D33" s="92">
        <f t="shared" si="3"/>
        <v>5.0000000000000001E-3</v>
      </c>
      <c r="E33" s="92">
        <f t="shared" si="3"/>
        <v>5.0000000000000001E-3</v>
      </c>
      <c r="F33" s="92">
        <f t="shared" si="3"/>
        <v>5.0000000000000001E-3</v>
      </c>
      <c r="G33" s="92">
        <f t="shared" si="3"/>
        <v>5.0000000000000001E-3</v>
      </c>
      <c r="H33" s="92">
        <f t="shared" si="3"/>
        <v>5.0000000000000001E-3</v>
      </c>
      <c r="I33" s="92">
        <f t="shared" si="3"/>
        <v>5.0000000000000001E-3</v>
      </c>
      <c r="J33" s="92">
        <f t="shared" si="3"/>
        <v>5.0000000000000001E-3</v>
      </c>
      <c r="K33" s="92">
        <f t="shared" si="3"/>
        <v>5.0000000000000001E-3</v>
      </c>
      <c r="L33" s="92">
        <f t="shared" si="3"/>
        <v>5.0000000000000001E-3</v>
      </c>
      <c r="M33" s="92">
        <f t="shared" si="3"/>
        <v>5.0000000000000001E-3</v>
      </c>
      <c r="N33" s="92">
        <f t="shared" si="3"/>
        <v>5.0000000000000001E-3</v>
      </c>
      <c r="O33" s="92">
        <f t="shared" si="3"/>
        <v>5.0000000000000001E-3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2020-03-24T06:50:14Z</dcterms:modified>
</cp:coreProperties>
</file>