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71CEB11B-212E-4D63-84D8-F7EE0B36706E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I10" i="2" s="1"/>
  <c r="H11" i="2"/>
  <c r="H12" i="2"/>
  <c r="I12" i="2" s="1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3" i="2"/>
  <c r="I11" i="2"/>
  <c r="I9" i="2"/>
  <c r="I8" i="2"/>
  <c r="I7" i="2"/>
  <c r="I5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A82634F-48C4-4432-A0DB-CDE2F9C3A5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7EB448D-CA0D-4885-A618-283C0F66AB3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6F845D25-9C83-4950-9F88-B02F1C47530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3228C0D0-BB67-41A9-BDD5-13592E3EB85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FF375055-1B15-4C55-9A36-C9F2191341C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50B141DE-2A3A-4E8D-A99E-823E98B337A0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AC4482F2-F760-4F4E-9DD6-971537CEF96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8FBBDED6-88D6-42F7-B265-DE6CC1EB36D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9BB8E17-212F-4C9B-84A5-97532FF469A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4586439-B814-4FA9-8C9A-4E6919A1FB8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2EDFA47-4BE1-461A-8DAA-C31B94EE498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622844B-3C04-45F1-AB81-6564B5AB6A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ECCEF18-316D-46D2-8821-10FF0171CE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35EB0E1-E986-4E42-97DE-269C8195CA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90D5B2D-2BCB-4998-B1F5-4DE2D3F0BA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53FEF3F-A1CE-4F9E-A960-6AC4642AA7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96AB04F-A8B2-42D4-AFF7-0A5BB91AC7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AF364E1-80C1-4571-9F6D-8F4AB6967B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CDCF9D2-556C-445D-A680-85FEAF514C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D31DA95-601F-4BCB-835F-46F052752E6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99B1FE6D-C633-44F4-B858-18CF4C72E99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040BAE1-328B-4336-BFD7-2751FBF864B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0BDFEEB-A877-4F3A-8004-9B1F518A6D2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6E30E52-16F9-4BD5-8313-9059A76F94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67EDC585-B6D3-4632-8798-48487D2C527D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B0AE595-A1D4-4DC7-96A2-DF643FA24F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CC9BC3B-90CF-4CB0-8624-B02B43DD46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C814CC0-D1DA-4CFB-AF99-8988F2F0A2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4B2E4287-C832-4717-8F6E-D6431994E2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887928A-902D-4473-9306-15079ABE1F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BCBDD728-A454-413B-A50C-0118440A68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CB7DB395-056F-4D80-AFCE-619B0337E8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58D7234-5088-483D-A5D3-2CEA2D33D2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4A1DA113-5443-46B5-9F0B-79C4ACA38AD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49A60477-340F-45D9-BCC9-E4B46AF5BBC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8F05808-9B6F-4E6B-BA21-54AF9A8AE7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04469594-87F6-4FEE-AE0C-4FBB0DCADD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F23CB4B-CE21-4F81-B472-BA82F01606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222EEC4-A62B-46DB-A719-7F5BC94245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8CBCBA65-3D57-4CB4-9A35-963DC1A5CB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3EBE311-A172-4372-A969-3427DA7CDA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F22AABF-3960-4978-A709-72843DD318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416A07EF-B9E2-48C0-A39E-EA5919DD3E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DD388087-3765-4804-957F-E36DAD09AC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EB85DCC7-E9DB-4C50-9AA1-3616726A63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8D5B0C5-54C5-43CA-984C-F3AB1A70D2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B12B99F-B26D-41FD-9483-F575A85DD0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B362369-CCCB-400E-BAAA-2BED31430F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27C449C8-2EE3-4A59-9B4C-FFF9E5B308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F6BC98A-2102-4DAD-9DA5-373DA063F7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C9AFB34E-D5D4-4EC9-8BD5-225D63326D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2073778E-B7A3-41F4-8868-15B770FDCF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A01F6ED6-82DD-4049-AA5A-64420A2260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4BAE5234-848A-44B5-8E8D-F2C7F91B63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F281BB2-5ADD-46AC-97D6-4303397411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0B4A71D-2ACD-44DB-B85F-9BFB46E2CD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23401C5-E485-4F7F-914A-8B3CA52504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A965731-8289-4350-A89F-7B9CDE885F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51AFCD85-A246-424E-BB52-F4BBB08850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7A190BA3-EBBC-41E9-A7AE-CEC9D94DD5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1A663204-2A76-4855-968D-8DFB7E7D6B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24FA9E32-AB73-40EC-B402-2086C25A29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13DAEDD-9F48-43E7-817A-76E267D48C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3769737-8C4A-4073-AD68-8ED40D3F13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618FCE9-1AD6-4DA1-9378-48EDFFA117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6ACB48DD-391D-49A9-AE31-292E4AB137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14B6E9B-20B9-436A-A27F-026A5000BD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0ED0E235-9E21-417C-B66E-34134A676C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08D3B288-2637-498C-AC62-58FF6B84F7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9C27F4D-668E-441C-B704-203E97C485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D3FBCE3-3032-477B-873E-BE052D7B31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DCD4C2F2-C0D4-4FFB-A5DD-C260B98472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CF43E2E0-8461-4E94-9822-6E4484CE5B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B9A6538-25CE-4AF8-9B84-1C5FE8C4FB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E58AEB4-79E3-4658-8B8A-A2AABD6E52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3B27DA9-56FB-456E-8177-8D2D1E3580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56D0A9C-2B2C-4FA8-9543-013C92E6F2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789BDC5-B891-4E57-A34A-FAF1737E4C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98D7B580-2DE2-441C-8B91-7265387A2E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9347CC02-A337-4703-9136-B007C8FDEB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1BB271C-F871-4560-BB19-51FBF9200F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4B29C07-D92F-42D0-9656-40D0C02F92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29E7DA6-63D4-4A8C-AE75-E58F0BBDB9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96F8C1E-4829-4531-9FE1-C1AFBE6E5F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82530DCD-0D2B-4B53-9673-C0155C4C56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4FC1E9C-3795-44CD-B4E6-2CD0D59E48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B395502-C4E8-44EB-A692-C421EB2EEA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2AFED4F-D551-4437-A1F8-04AF388C84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9D25BA2-186D-4745-AC6D-860FD55342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420F9676-EFA2-464B-94A1-9C3799B539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91DDD8BB-F282-41DD-95D2-FC57CD21EC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DD3A32D-618D-43A0-8496-7145742612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86DCF266-658B-4512-A0F0-0F28807A49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EFEAB338-A0A7-40AC-901F-9E2ADFDC9F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4A8095A-ADA5-42ED-9276-A79EAAD939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486B450-038C-46F7-AB09-EEBB646259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FB206544-DDA9-44CA-8008-4A6AA4BB0A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5D16A08-B7DE-49BE-9755-30F94316BD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019DEA4D-A052-48F5-9A01-E61CE9FB15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9A7B88EE-CF56-4371-8F78-2A902312DB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D215A4BB-7CA8-4185-8D2A-4BC0BE30D3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9CE01F4-5DEB-428E-9656-0E1F9AC0CA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E13C6D5-4FBC-40BA-9BC5-08EDAC893A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62FD329-D100-485C-85A7-B923940EE9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B198AC74-ECFC-4E04-B89E-F42CD9DE4C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A7338E4-D035-4631-B38D-9179CF4C63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50168F5-2736-4DAF-9547-20F1B99EEE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4875CC0-F8E1-409D-9107-636CE75375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4641619-1E42-4EA9-8434-DDBDD9CC47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960E4DAA-FA3C-4E85-BFD7-B7DDFBAC03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4577FE6-201D-47A8-BBAC-99B27B9B49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FAD5E6D-871B-41C6-B81B-2A09374657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0337189-A163-46E6-A540-2598FC7406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EB3607B7-4F42-428E-8E96-0AFE19C200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CEAD68F5-6F3D-4D02-AEEF-C0DE334246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E1D4F21-C0F1-4478-BB26-F4E70B4E08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A9A51D2B-2939-4F4D-BC3A-5965427E451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61466CED-C41A-4965-A426-CF0152CC9E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2028A94C-FE9C-4DC7-A762-B1B44229EF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2FC07DE-F01B-402B-B07D-147ABE6A8E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C1C199B-3D6A-4A46-B3E4-8DE48B8655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86F71604-1599-4B4A-9F0D-EBBED83C49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F2635AC-E352-44CE-82C0-E985696FAB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3E26C4F6-2CD9-4C85-AAB6-A758F0792E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A3B8A21-826D-42C3-97BF-EB0B9096DD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9CBB0EB-541A-40E4-AA5B-E42179B469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9D21A718-6D82-43FC-A79A-97C30CE5A6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3F2B6552-432F-4E69-87D4-6FA6DB7F9D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C6BC1B22-21CB-401D-8708-3AFD74320F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BFCCE3A4-999C-4400-9E3D-8C9E1FBE28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DC0262DF-1DF6-4A7B-88FD-99C7BAB2F9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A868967-5154-4DEB-894B-01B6C057E8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61F34F6-AF9F-4FA4-BB79-237BCCB62C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EA39229-A37C-4689-BBF4-A80B2D5F55F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C24F15E3-98E3-4F0B-BFEA-DACC1F04227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B4605794-4F31-441F-8338-B6B7CFCF5D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F146F7A6-3254-4169-AC83-8CA83B24A5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2CF5E81-4E4F-4BE0-9454-4D9225B5CB9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1F2D560A-A572-4B01-8E38-C3FE7FD50B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9F20930F-17C7-4FD5-89A9-D5C3D2F655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38DE8F75-81CA-45DB-A373-CC07F113101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42FD803E-B7D7-426C-88A2-AFD37D24A12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50D6722-9144-49D0-9C4C-20A7D88D9F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64683B75-B94B-4CEA-81BF-2CBF96EA4E9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84417D6C-2803-42BF-9D8D-09B86D2BA7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7DFCC53-A652-446D-8C18-A56592766A3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356EE56-ED9A-4B53-A822-BED233E1BF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CD9A52DB-9818-48B1-8BE1-06F15D94E9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9DC444DF-6609-4EF0-A825-E227D5CE3A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655AAA3-C4DF-4167-B693-C39807B9D3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E1F8441-767E-41DB-A051-DB0FCD6B85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925F99B-58FA-4CE1-A70C-B6B657C29C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42BCD8C-0B60-46EE-966A-232351B672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FF59980-2EA4-4608-8C5F-788456629D5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673F5C7-423F-415A-8798-1CAB9897CB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3C3597D-5785-4A19-8BAD-32AAC621B8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3447B83B-2AA6-4276-A135-3C5E21B5A1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1380C3E0-674C-4529-A1E0-D3E3B8F5E06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2D1CA4B-6F6C-45A3-AB21-A69F26FD1A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13849219-FA86-45C0-9588-6C9C04A4EA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1ABF383D-6935-4543-BA4D-59795F77A7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9C94D91-1BE2-45D9-8A45-150FAAE81B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9D6C3C4F-A92F-47C9-8D4D-A4F6742D10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68E90169-847A-47EB-BB88-FB035C68CD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EFF32F75-A73C-4A98-AE0E-F16E8AA39C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53B7E4C6-4734-448A-9542-2188F783ED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2ECB7D4E-DE15-4BE6-AF05-1EAF6C9C6C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7422610-208F-4B2A-A9B6-CF01DA528F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8FDA85C-43FB-4CB4-89EE-27AD66AD43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E7227245-DC97-4AE8-8AF4-C028D0111C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9B15F52-56CC-4487-B37F-FCB79A16FF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BF8096BA-EA5A-436D-BE9D-974E865369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C5E2F1A0-4015-4160-B4BD-EF46564687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6CD5A409-D063-47F0-BDC1-05DD0D5A08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89473A7F-9DCD-4795-8812-3636CCD426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3B7E942-F5D7-42BE-9F75-5E7FB7C12C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7BB5AE43-F4E0-4642-85DC-977A87E530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439F5764-410C-4A1B-9902-E644BA6145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5424184-3F0C-4E80-9622-DF10C716E9F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49C974D9-6DD2-4034-9A1A-3905B3729C9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50364D23-2D1B-4F7F-B620-C9E583F042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0960CBD-1242-4F25-860F-36246C382B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7D4876AC-4CDD-4AED-B63B-770B16AF79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5680CBDC-6B11-4C36-971D-517E01493F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187797D9-9E9F-4855-B195-B2522AA4D8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2E3FACB-0C55-4A27-BC03-33ED48B604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E0DED25-BA1B-4E05-88EE-194870D14A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1768CFE-AA93-4982-AE2E-8B17A045C3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FB69C242-FEA6-4CD1-95C3-95808C58CD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8A7C091-178F-4EE7-B75B-3C3F5589C5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FF2BE6B8-14AA-4EE8-9A5C-18D65B00F0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FED66E7-6FD1-4BF7-85EA-D44DA84B70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8D4B346C-2DE0-4D57-AE5A-0E095A6E23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A0C7CC5B-16AD-4A3E-AB5F-9C1F3E90A9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DD3D286D-C8FA-4468-AAB7-AF27FE9121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BD42221-09FA-4C9B-B0A2-C1CCDDE0CE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B02DE77C-875F-42B1-BA68-00C33B74B1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E3AA9789-C538-4E2F-B738-084BF70CB6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17F3F4B-AD3D-46A5-B6F6-62BF33B838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B698D6F-B8C6-4CD2-AB4D-EC30673DEB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AD4EDE2-4431-4104-B515-825D6AF963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D637FBF-9367-4933-8F83-2FD7A4FEA8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2A4C7EB-B1D8-4490-B25D-8B840CD36F2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53EC0B4-8ACA-4E40-8ED0-8B34BDA2A0E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37A5081-37D8-422E-BDFA-19DCE26F046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5C8F9C74-45B9-457F-9221-C8987BE18DC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76FC3C7-35FE-4B7D-9897-4297DE57824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69B59F2-CF55-4AAD-91D1-616FBF955D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69BB9598-18C4-48DC-B92C-4319D04B92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6260405-D213-4C09-97DB-CEB1BE2A86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9646DB4-F888-4839-B023-71A9A7B5E4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A091B818-87D4-4DE3-9C3D-BD682FA2A1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60EB3F84-4885-457D-8415-066178258DC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2357413E-2C54-4104-A699-DE307EC370F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C68061C9-F317-4117-B13A-4F041E360EC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2428D31-722C-4643-B92E-989BC15286E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0AFB28D1-7AF8-4C5F-9D69-9ABC0BE8CB8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35AA4E19-18FB-4129-BABA-A190789C50B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7049E7F6-9D50-41A9-A7E0-D5609A7D08C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FEFE49B-2A7A-4DC6-9447-2A55616352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62E4AA53-7BA6-457A-A2B6-79BE353F9B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B8456F4-C402-4E7B-AF96-34EFC71ADB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846F339-23AC-4E3C-AC0D-E446851CB6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00A6E287-8357-4F16-B0D1-788B16DAFE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43FBE7B-38A8-489D-ACED-B83B0252F2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91728037-D8BB-4D71-BE50-ECF734D7F4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DDE2B5B-6769-469A-8227-DA636E3886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5A6D14F-D1A5-41A7-9345-6D34B52DED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7AB91611-793F-4F75-B86A-F870F2F09E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BA38415A-CC40-4776-B109-5246116213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ACA0D4F-4B26-449A-B74F-CDF214DF4C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ED2E173-8869-4922-9576-93E1589272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2A63BA5-E894-4CD4-9396-91B683C119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1F24BDD-14E9-4BF6-B791-9674BE8A18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B0B71B4-2024-43B4-BAFC-A076BC57E6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DA24F59-F67E-4E6D-8710-13C737BB22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7E0959BC-5BB3-4D7F-842D-2977C8E903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F314B42-BCEE-49E1-A118-780EE0C007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381BE8DD-3340-40C4-ABC7-58E0A9A6DC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50F234A-3A48-4859-B67B-192F0AF686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6B92F4D-E5C3-4874-87D2-EA428100F3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AFAF9EBA-F8FC-412B-93EF-2423FC929D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F57CF34-B970-47DA-AF38-05CEA7B6E9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D1C6388B-9FC5-4258-B902-35AE992604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6563024-5F12-4ACF-87E7-6883BB81E1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B8D4F6C-B015-40A5-94BB-35E9560CCE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5D4811D1-15B1-45E2-B6B3-B2619490AB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DCF84CE-3CD7-41E7-97C1-23B581F8BB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BD47D65-E951-44CF-8738-B840DCF916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3F7C3747-5BD8-4C97-940D-427D394873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ACBFC76-D6C1-408E-9DC2-74DA394132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7B5EDA12-37AB-4F26-AC3E-512A06F66C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4677F59-0EDC-4FEA-B4C4-85193620D0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512A35C0-58FF-428F-97F2-EE688D41C0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E2E6793A-3EA5-49BD-9CE8-56C252470E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46B6C74-0940-4A12-8CCF-D5A2A7CF51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8D6179F9-36C0-43EA-BDCB-5C7644C831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41D7933D-9785-42CE-A380-21B1A41EBA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9581BD98-2924-4008-851B-3D874CE83F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EF3D8904-709E-4D32-B326-CD0320F1F5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E7A3029B-4829-40BE-A3AE-BF34E4E14B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F88A87C-1A7E-4642-AC46-573F667D2C6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572E578-06B4-4710-9D15-D7D7762A594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3338B50-9029-4ADB-A8FB-7C7472EEDE6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B55DE454-BF6B-4781-B696-042D8CFD2DB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FC6F1CC-852C-4AC0-8FB4-B2648649801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1648B072-0B8F-4E7A-AABF-D7D6E2CDAF5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21EA62B-3BAC-4392-B7F7-28C5319098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CB453C09-B504-42C9-AFA9-04F2E8105B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9EF3D79-0C1F-4A20-822E-7CA1C951761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54E2265-89F3-45A8-AF16-E38F31DF81A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A4F69A74-2BEB-42D1-B83A-61AB1F7824B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608DD12-F553-4F4A-8CA4-4B21159F59F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819445BD-8A23-4364-83ED-6626F363D1D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C22D1D8-330F-4CE1-8307-CEFC742B511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BC77EB35-F355-418D-80C8-51AEF685870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303578C-FEE9-46F0-8481-E269499EEC9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FAB38DA-71EA-4CF2-B072-FC85C76F6FC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9D50851A-C822-477C-BC3F-3D4A8690501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9B40917-A92A-4AD1-BB11-9FAEF539899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F980EFF2-82A2-4AC1-AB97-C00EDC8E794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D2C8C1B9-E007-42E8-B8EE-BF189030AF7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77CB2DC-133B-4858-AA9A-1F3991CA0D8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58AB77E-984B-4B63-A5BB-5006593DB89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D1A99465-B23B-4DDF-B242-13161541529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8E97965-2F25-4FFE-9236-24EE8EA418B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687B1EE-2FB8-4468-8C12-99C9842B46B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BA58448-A0ED-48E1-A658-D8C6CD2AD15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2769271-B23B-447C-8C41-49DF8E4153D7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2771B7C3-9BC4-4E62-BC45-22ED00D6B05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A48AC66-F712-43A4-A0C0-65D3120896D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B54BCC24-5A3D-4FFD-BC71-D4781D5FB10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A6119F1-9DBE-4866-9AC3-A2283FB4468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90BA8A2-300A-4B09-9E60-189F2BCD182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F1C523EA-8E01-4BEB-9554-906036E29AB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9703457-C7FC-4710-B6F4-BCC1F7968FE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2E6AE80D-469C-4DE6-AF51-B4F0C241BAF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7C2AF0A-8318-43B0-A963-631BC62CC71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CDAA08B-CEEF-445A-B178-F505767346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5FD0BED-0A67-45BB-8AC6-95673BF09DC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E34ED836-4373-40F6-B3AB-725C612F4CA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13E674A-F6E7-4A0C-9BD4-04F78B66A3D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8367041-17A4-4FE8-A8BF-BC57BB559B3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5204FBE-A13D-45AD-97C6-08287DCD85B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63C0861-0A01-48F5-8983-F6B2F4FD5AC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AB51BD2-832D-4D20-BF3E-0910FCAF1F0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073B79E-4916-439E-B99D-1AF35796A44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BAE26AB2-02FF-44B6-9E6C-1382053B904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6BCD5A0D-4510-4E2D-B5A0-53DC052E7CB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FA7492D-7D16-4DAF-8B7D-E66902F5449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67C2963-62D0-49D9-904A-AE3ECE72D4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0F6F0C2-CC5F-4F70-922D-3D4B54A422B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6CB52C2-85CB-400B-9B52-14F73A8FA0D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42950F72-83A2-45FB-9B22-83BF190EF2D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DCD3BA3-B9BD-4DE8-AF01-59AA72D4DB7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A160A78F-7799-42AA-8433-B3DA2221839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3CA0ACE6-1E46-48B8-AA4D-419D2DBB051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C389878-D0E5-467A-871E-A51E02864C5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53C79ACE-AC87-43F3-BC50-06E48796F4F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29B637D-2F4C-4B86-9E04-CCF2CCB0695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23EB5D9C-D04A-429C-9B99-B56D28C1F17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B7E742F0-C4EA-4CDE-A32B-C8D6315A0D83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7C3EBF64-EE88-44C1-8BB9-C848DFDF4CC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<sst xmlns="http://schemas.openxmlformats.org/spreadsheetml/2006/main" count="1102" uniqueCount="271">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</sst>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1748806</v>
      </c>
    </row>
    <row r="8" spans="1:3" ht="15" customHeight="1" x14ac:dyDescent="0.25">
      <c r="B8" s="7" t="s">
        <v>106</v>
      </c>
      <c r="C8" s="70">
        <v>0.38200000000000001</v>
      </c>
    </row>
    <row r="9" spans="1:3" ht="15" customHeight="1" x14ac:dyDescent="0.25">
      <c r="B9" s="9" t="s">
        <v>107</v>
      </c>
      <c r="C9" s="71">
        <v>7.0000000000000007E-2</v>
      </c>
    </row>
    <row r="10" spans="1:3" ht="15" customHeight="1" x14ac:dyDescent="0.25">
      <c r="B10" s="9" t="s">
        <v>105</v>
      </c>
      <c r="C10" s="71">
        <v>0.29895069122314499</v>
      </c>
    </row>
    <row r="11" spans="1:3" ht="15" customHeight="1" x14ac:dyDescent="0.25">
      <c r="B11" s="7" t="s">
        <v>108</v>
      </c>
      <c r="C11" s="70">
        <v>0.439</v>
      </c>
    </row>
    <row r="12" spans="1:3" ht="15" customHeight="1" x14ac:dyDescent="0.25">
      <c r="B12" s="7" t="s">
        <v>109</v>
      </c>
      <c r="C12" s="70">
        <v>0.53900000000000003</v>
      </c>
    </row>
    <row r="13" spans="1:3" ht="15" customHeight="1" x14ac:dyDescent="0.25">
      <c r="B13" s="7" t="s">
        <v>110</v>
      </c>
      <c r="C13" s="70">
        <v>0.34100000000000003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4.6199999999999998E-2</v>
      </c>
    </row>
    <row r="24" spans="1:3" ht="15" customHeight="1" x14ac:dyDescent="0.25">
      <c r="B24" s="20" t="s">
        <v>102</v>
      </c>
      <c r="C24" s="71">
        <v>0.50180000000000002</v>
      </c>
    </row>
    <row r="25" spans="1:3" ht="15" customHeight="1" x14ac:dyDescent="0.25">
      <c r="B25" s="20" t="s">
        <v>103</v>
      </c>
      <c r="C25" s="71">
        <v>0.36329999999999996</v>
      </c>
    </row>
    <row r="26" spans="1:3" ht="15" customHeight="1" x14ac:dyDescent="0.25">
      <c r="B26" s="20" t="s">
        <v>104</v>
      </c>
      <c r="C26" s="71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0.253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0.12300000000000001</v>
      </c>
    </row>
    <row r="32" spans="1:3" ht="14.25" customHeight="1" x14ac:dyDescent="0.25">
      <c r="B32" s="30" t="s">
        <v>78</v>
      </c>
      <c r="C32" s="73">
        <v>0.56899999998509887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16.399999999999999</v>
      </c>
    </row>
    <row r="38" spans="1:5" ht="15" customHeight="1" x14ac:dyDescent="0.25">
      <c r="B38" s="16" t="s">
        <v>91</v>
      </c>
      <c r="C38" s="75">
        <v>28.9</v>
      </c>
      <c r="D38" s="17"/>
      <c r="E38" s="18"/>
    </row>
    <row r="39" spans="1:5" ht="15" customHeight="1" x14ac:dyDescent="0.25">
      <c r="B39" s="16" t="s">
        <v>90</v>
      </c>
      <c r="C39" s="75">
        <v>37.9</v>
      </c>
      <c r="D39" s="17"/>
      <c r="E39" s="17"/>
    </row>
    <row r="40" spans="1:5" ht="15" customHeight="1" x14ac:dyDescent="0.25">
      <c r="B40" s="16" t="s">
        <v>171</v>
      </c>
      <c r="C40" s="75">
        <v>2.9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1.5300000000000001E-2</v>
      </c>
      <c r="D45" s="17"/>
    </row>
    <row r="46" spans="1:5" ht="15.75" customHeight="1" x14ac:dyDescent="0.25">
      <c r="B46" s="16" t="s">
        <v>11</v>
      </c>
      <c r="C46" s="71">
        <v>7.9899999999999999E-2</v>
      </c>
      <c r="D46" s="17"/>
    </row>
    <row r="47" spans="1:5" ht="15.75" customHeight="1" x14ac:dyDescent="0.25">
      <c r="B47" s="16" t="s">
        <v>12</v>
      </c>
      <c r="C47" s="71">
        <v>0.108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2.7937927780425</v>
      </c>
      <c r="D51" s="17"/>
    </row>
    <row r="52" spans="1:4" ht="15" customHeight="1" x14ac:dyDescent="0.25">
      <c r="B52" s="16" t="s">
        <v>125</v>
      </c>
      <c r="C52" s="76">
        <v>2.7115984105100002</v>
      </c>
    </row>
    <row r="53" spans="1:4" ht="15.75" customHeight="1" x14ac:dyDescent="0.25">
      <c r="B53" s="16" t="s">
        <v>126</v>
      </c>
      <c r="C53" s="76">
        <v>2.7115984105100002</v>
      </c>
    </row>
    <row r="54" spans="1:4" ht="15.75" customHeight="1" x14ac:dyDescent="0.25">
      <c r="B54" s="16" t="s">
        <v>127</v>
      </c>
      <c r="C54" s="76">
        <v>1.8062169752699899</v>
      </c>
    </row>
    <row r="55" spans="1:4" ht="15.75" customHeight="1" x14ac:dyDescent="0.25">
      <c r="B55" s="16" t="s">
        <v>128</v>
      </c>
      <c r="C55" s="76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0.56162384870019422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36.079849986609638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47.391202091117954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70.283560158574318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0.37755207944684444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1.1683367474387607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1.1683367474387607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1.1683367474387607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1.1683367474387607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86">
        <v>15.05045142161304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86">
        <v>15.05045142161304</v>
      </c>
      <c r="E15" s="86" t="s">
        <v>202</v>
      </c>
    </row>
    <row r="16" spans="1:5" ht="15.75" customHeight="1" x14ac:dyDescent="0.25">
      <c r="A16" s="52" t="s">
        <v>57</v>
      </c>
      <c r="B16" s="85">
        <v>0.17699999999999999</v>
      </c>
      <c r="C16" s="85">
        <v>0.95</v>
      </c>
      <c r="D16" s="86">
        <v>0.2530143942324673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0.30099999999999999</v>
      </c>
      <c r="C18" s="85">
        <v>0.95</v>
      </c>
      <c r="D18" s="87">
        <v>1.7238607815467766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1.7238607815467766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1.7238607815467766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4.0598209789868394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25.651202438998766</v>
      </c>
      <c r="E22" s="86" t="s">
        <v>202</v>
      </c>
    </row>
    <row r="23" spans="1:5" ht="15.75" customHeight="1" x14ac:dyDescent="0.25">
      <c r="A23" s="52" t="s">
        <v>34</v>
      </c>
      <c r="B23" s="85">
        <v>0.84099999999999997</v>
      </c>
      <c r="C23" s="85">
        <v>0.95</v>
      </c>
      <c r="D23" s="86">
        <v>4.9321676394351552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21.742747301314633</v>
      </c>
      <c r="E24" s="86" t="s">
        <v>202</v>
      </c>
    </row>
    <row r="25" spans="1:5" ht="15.75" customHeight="1" x14ac:dyDescent="0.25">
      <c r="A25" s="52" t="s">
        <v>87</v>
      </c>
      <c r="B25" s="85">
        <v>0.36599999999999999</v>
      </c>
      <c r="C25" s="85">
        <v>0.95</v>
      </c>
      <c r="D25" s="86">
        <v>21.744216489009784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3.9720814936147577</v>
      </c>
      <c r="E27" s="86" t="s">
        <v>202</v>
      </c>
    </row>
    <row r="28" spans="1:5" ht="15.75" customHeight="1" x14ac:dyDescent="0.25">
      <c r="A28" s="52" t="s">
        <v>84</v>
      </c>
      <c r="B28" s="85">
        <v>0.27500000000000002</v>
      </c>
      <c r="C28" s="85">
        <v>0.95</v>
      </c>
      <c r="D28" s="86">
        <v>1.3383796563407406</v>
      </c>
      <c r="E28" s="86" t="s">
        <v>202</v>
      </c>
    </row>
    <row r="29" spans="1:5" ht="15.75" customHeight="1" x14ac:dyDescent="0.25">
      <c r="A29" s="52" t="s">
        <v>58</v>
      </c>
      <c r="B29" s="85">
        <v>0.30099999999999999</v>
      </c>
      <c r="C29" s="85">
        <v>0.95</v>
      </c>
      <c r="D29" s="86">
        <v>63.551452439241622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0.46670911326684156</v>
      </c>
      <c r="E30" s="86" t="s">
        <v>202</v>
      </c>
    </row>
    <row r="31" spans="1:5" ht="15.75" customHeight="1" x14ac:dyDescent="0.25">
      <c r="A31" s="52" t="s">
        <v>28</v>
      </c>
      <c r="B31" s="85">
        <v>0.96</v>
      </c>
      <c r="C31" s="85">
        <v>0.95</v>
      </c>
      <c r="D31" s="86">
        <v>0.48033470148423679</v>
      </c>
      <c r="E31" s="86" t="s">
        <v>202</v>
      </c>
    </row>
    <row r="32" spans="1:5" ht="15.75" customHeight="1" x14ac:dyDescent="0.25">
      <c r="A32" s="52" t="s">
        <v>83</v>
      </c>
      <c r="B32" s="85">
        <v>0.376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0.88099999999999989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0.61599999999999999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0.7609999999999999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9.1999999999999998E-2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2E-3</v>
      </c>
      <c r="C37" s="85">
        <v>0.95</v>
      </c>
      <c r="D37" s="86">
        <v>4.0283775058915356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0.50576029108967957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1.2688315120000038E-2</v>
      </c>
      <c r="C3" s="26">
        <f>frac_mam_1_5months * 2.6</f>
        <v>1.2688315120000038E-2</v>
      </c>
      <c r="D3" s="26">
        <f>frac_mam_6_11months * 2.6</f>
        <v>3.0818517600000005E-2</v>
      </c>
      <c r="E3" s="26">
        <f>frac_mam_12_23months * 2.6</f>
        <v>8.2721993899999999E-2</v>
      </c>
      <c r="F3" s="26">
        <f>frac_mam_24_59months * 2.6</f>
        <v>2.2289709953333327E-2</v>
      </c>
    </row>
    <row r="4" spans="1:6" ht="15.75" customHeight="1" x14ac:dyDescent="0.25">
      <c r="A4" s="3" t="s">
        <v>66</v>
      </c>
      <c r="B4" s="26">
        <f>frac_sam_1month * 2.6</f>
        <v>4.3560402600000006E-2</v>
      </c>
      <c r="C4" s="26">
        <f>frac_sam_1_5months * 2.6</f>
        <v>4.3560402600000006E-2</v>
      </c>
      <c r="D4" s="26">
        <f>frac_sam_6_11months * 2.6</f>
        <v>4.5601033400000004E-2</v>
      </c>
      <c r="E4" s="26">
        <f>frac_sam_12_23months * 2.6</f>
        <v>1.62190119E-2</v>
      </c>
      <c r="F4" s="26">
        <f>frac_sam_24_59months * 2.6</f>
        <v>7.7319946599999998E-3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371636.11748700001</v>
      </c>
      <c r="C2" s="78">
        <v>642656</v>
      </c>
      <c r="D2" s="78">
        <v>1060163</v>
      </c>
      <c r="E2" s="78">
        <v>13989</v>
      </c>
      <c r="F2" s="78">
        <v>13144</v>
      </c>
      <c r="G2" s="22">
        <f t="shared" ref="G2:G40" si="0">C2+D2+E2+F2</f>
        <v>1729952</v>
      </c>
      <c r="H2" s="22">
        <f t="shared" ref="H2:H40" si="1">(B2 + stillbirth*B2/(1000-stillbirth))/(1-abortion)</f>
        <v>434688.05447693373</v>
      </c>
      <c r="I2" s="22">
        <f>G2-H2</f>
        <v>1295263.9455230662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372767.31900000002</v>
      </c>
      <c r="C3" s="78">
        <v>660000</v>
      </c>
      <c r="D3" s="78">
        <v>1070000</v>
      </c>
      <c r="E3" s="78">
        <v>14100</v>
      </c>
      <c r="F3" s="78">
        <v>13200</v>
      </c>
      <c r="G3" s="22">
        <f t="shared" si="0"/>
        <v>1757300</v>
      </c>
      <c r="H3" s="22">
        <f t="shared" si="1"/>
        <v>436011.17610524135</v>
      </c>
      <c r="I3" s="22">
        <f t="shared" ref="I3:I15" si="3">G3-H3</f>
        <v>1321288.8238947587</v>
      </c>
    </row>
    <row r="4" spans="1:9" ht="15.75" customHeight="1" x14ac:dyDescent="0.25">
      <c r="A4" s="7">
        <f t="shared" si="2"/>
        <v>2019</v>
      </c>
      <c r="B4" s="77">
        <v>373546.41800000001</v>
      </c>
      <c r="C4" s="78">
        <v>677000</v>
      </c>
      <c r="D4" s="78">
        <v>1085000</v>
      </c>
      <c r="E4" s="78">
        <v>14100</v>
      </c>
      <c r="F4" s="78">
        <v>13200</v>
      </c>
      <c r="G4" s="22">
        <f t="shared" si="0"/>
        <v>1789300</v>
      </c>
      <c r="H4" s="22">
        <f t="shared" si="1"/>
        <v>436922.45736295381</v>
      </c>
      <c r="I4" s="22">
        <f t="shared" si="3"/>
        <v>1352377.5426370462</v>
      </c>
    </row>
    <row r="5" spans="1:9" ht="15.75" customHeight="1" x14ac:dyDescent="0.25">
      <c r="A5" s="7">
        <f t="shared" si="2"/>
        <v>2020</v>
      </c>
      <c r="B5" s="77">
        <v>373961.02500000002</v>
      </c>
      <c r="C5" s="78">
        <v>697000</v>
      </c>
      <c r="D5" s="78">
        <v>1106000</v>
      </c>
      <c r="E5" s="78">
        <v>14200</v>
      </c>
      <c r="F5" s="78">
        <v>13300</v>
      </c>
      <c r="G5" s="22">
        <f t="shared" si="0"/>
        <v>1830500</v>
      </c>
      <c r="H5" s="22">
        <f t="shared" si="1"/>
        <v>437407.40675759607</v>
      </c>
      <c r="I5" s="22">
        <f t="shared" si="3"/>
        <v>1393092.5932424041</v>
      </c>
    </row>
    <row r="6" spans="1:9" ht="15.75" customHeight="1" x14ac:dyDescent="0.25">
      <c r="A6" s="7">
        <f t="shared" si="2"/>
        <v>2021</v>
      </c>
      <c r="B6" s="77">
        <v>375877.65339999995</v>
      </c>
      <c r="C6" s="78">
        <v>718000</v>
      </c>
      <c r="D6" s="78">
        <v>1133000</v>
      </c>
      <c r="E6" s="78">
        <v>14300</v>
      </c>
      <c r="F6" s="78">
        <v>13400</v>
      </c>
      <c r="G6" s="22">
        <f t="shared" si="0"/>
        <v>1878700</v>
      </c>
      <c r="H6" s="22">
        <f t="shared" si="1"/>
        <v>439649.21112253476</v>
      </c>
      <c r="I6" s="22">
        <f t="shared" si="3"/>
        <v>1439050.7888774653</v>
      </c>
    </row>
    <row r="7" spans="1:9" ht="15.75" customHeight="1" x14ac:dyDescent="0.25">
      <c r="A7" s="7">
        <f t="shared" si="2"/>
        <v>2022</v>
      </c>
      <c r="B7" s="77">
        <v>377486.114</v>
      </c>
      <c r="C7" s="78">
        <v>739000</v>
      </c>
      <c r="D7" s="78">
        <v>1165000</v>
      </c>
      <c r="E7" s="78">
        <v>14400</v>
      </c>
      <c r="F7" s="78">
        <v>13500</v>
      </c>
      <c r="G7" s="22">
        <f t="shared" si="0"/>
        <v>1931900</v>
      </c>
      <c r="H7" s="22">
        <f t="shared" si="1"/>
        <v>441530.56381140859</v>
      </c>
      <c r="I7" s="22">
        <f t="shared" si="3"/>
        <v>1490369.4361885914</v>
      </c>
    </row>
    <row r="8" spans="1:9" ht="15.75" customHeight="1" x14ac:dyDescent="0.25">
      <c r="A8" s="7">
        <f t="shared" si="2"/>
        <v>2023</v>
      </c>
      <c r="B8" s="77">
        <v>378814.98180000001</v>
      </c>
      <c r="C8" s="78">
        <v>761000</v>
      </c>
      <c r="D8" s="78">
        <v>1202000</v>
      </c>
      <c r="E8" s="78">
        <v>14600</v>
      </c>
      <c r="F8" s="78">
        <v>13700</v>
      </c>
      <c r="G8" s="22">
        <f t="shared" si="0"/>
        <v>1991300</v>
      </c>
      <c r="H8" s="22">
        <f t="shared" si="1"/>
        <v>443084.88787050458</v>
      </c>
      <c r="I8" s="22">
        <f t="shared" si="3"/>
        <v>1548215.1121294955</v>
      </c>
    </row>
    <row r="9" spans="1:9" ht="15.75" customHeight="1" x14ac:dyDescent="0.25">
      <c r="A9" s="7">
        <f t="shared" si="2"/>
        <v>2024</v>
      </c>
      <c r="B9" s="77">
        <v>379864.25680000003</v>
      </c>
      <c r="C9" s="78">
        <v>781000</v>
      </c>
      <c r="D9" s="78">
        <v>1241000</v>
      </c>
      <c r="E9" s="78">
        <v>14800</v>
      </c>
      <c r="F9" s="78">
        <v>13800</v>
      </c>
      <c r="G9" s="22">
        <f t="shared" si="0"/>
        <v>2050600</v>
      </c>
      <c r="H9" s="22">
        <f t="shared" si="1"/>
        <v>444312.18329982262</v>
      </c>
      <c r="I9" s="22">
        <f t="shared" si="3"/>
        <v>1606287.8167001773</v>
      </c>
    </row>
    <row r="10" spans="1:9" ht="15.75" customHeight="1" x14ac:dyDescent="0.25">
      <c r="A10" s="7">
        <f t="shared" si="2"/>
        <v>2025</v>
      </c>
      <c r="B10" s="77">
        <v>380660.11200000002</v>
      </c>
      <c r="C10" s="78">
        <v>798000</v>
      </c>
      <c r="D10" s="78">
        <v>1280000</v>
      </c>
      <c r="E10" s="78">
        <v>14800</v>
      </c>
      <c r="F10" s="78">
        <v>13800</v>
      </c>
      <c r="G10" s="22">
        <f t="shared" si="0"/>
        <v>2106600</v>
      </c>
      <c r="H10" s="22">
        <f t="shared" si="1"/>
        <v>445243.06362133886</v>
      </c>
      <c r="I10" s="22">
        <f t="shared" si="3"/>
        <v>1661356.9363786611</v>
      </c>
    </row>
    <row r="11" spans="1:9" ht="15.75" customHeight="1" x14ac:dyDescent="0.25">
      <c r="A11" s="7">
        <f t="shared" si="2"/>
        <v>2026</v>
      </c>
      <c r="B11" s="77">
        <v>383729.33100000001</v>
      </c>
      <c r="C11" s="78">
        <v>812000</v>
      </c>
      <c r="D11" s="78">
        <v>1320000</v>
      </c>
      <c r="E11" s="78">
        <v>15100</v>
      </c>
      <c r="F11" s="78">
        <v>13900</v>
      </c>
      <c r="G11" s="22">
        <f t="shared" si="0"/>
        <v>2161000</v>
      </c>
      <c r="H11" s="22">
        <f t="shared" si="1"/>
        <v>448833.00758290844</v>
      </c>
      <c r="I11" s="22">
        <f t="shared" si="3"/>
        <v>1712166.9924170915</v>
      </c>
    </row>
    <row r="12" spans="1:9" ht="15.75" customHeight="1" x14ac:dyDescent="0.25">
      <c r="A12" s="7">
        <f t="shared" si="2"/>
        <v>2027</v>
      </c>
      <c r="B12" s="77">
        <v>386667.99599999998</v>
      </c>
      <c r="C12" s="78">
        <v>823000</v>
      </c>
      <c r="D12" s="78">
        <v>1359000</v>
      </c>
      <c r="E12" s="78">
        <v>15200</v>
      </c>
      <c r="F12" s="78">
        <v>14000</v>
      </c>
      <c r="G12" s="22">
        <f t="shared" si="0"/>
        <v>2211200</v>
      </c>
      <c r="H12" s="22">
        <f t="shared" si="1"/>
        <v>452270.24769898551</v>
      </c>
      <c r="I12" s="22">
        <f t="shared" si="3"/>
        <v>1758929.7523010145</v>
      </c>
    </row>
    <row r="13" spans="1:9" ht="15.75" customHeight="1" x14ac:dyDescent="0.25">
      <c r="A13" s="7">
        <f t="shared" si="2"/>
        <v>2028</v>
      </c>
      <c r="B13" s="77">
        <v>389449.00400000007</v>
      </c>
      <c r="C13" s="78">
        <v>832000</v>
      </c>
      <c r="D13" s="78">
        <v>1397000</v>
      </c>
      <c r="E13" s="78">
        <v>15400</v>
      </c>
      <c r="F13" s="78">
        <v>14100</v>
      </c>
      <c r="G13" s="22">
        <f t="shared" si="0"/>
        <v>2258500</v>
      </c>
      <c r="H13" s="22">
        <f t="shared" si="1"/>
        <v>455523.0826634104</v>
      </c>
      <c r="I13" s="22">
        <f t="shared" si="3"/>
        <v>1802976.9173365897</v>
      </c>
    </row>
    <row r="14" spans="1:9" ht="15.75" customHeight="1" x14ac:dyDescent="0.25">
      <c r="A14" s="7">
        <f t="shared" si="2"/>
        <v>2029</v>
      </c>
      <c r="B14" s="77">
        <v>392071.42500000005</v>
      </c>
      <c r="C14" s="78">
        <v>839000</v>
      </c>
      <c r="D14" s="78">
        <v>1435000</v>
      </c>
      <c r="E14" s="78">
        <v>15400</v>
      </c>
      <c r="F14" s="78">
        <v>14100</v>
      </c>
      <c r="G14" s="22">
        <f t="shared" si="0"/>
        <v>2303500</v>
      </c>
      <c r="H14" s="22">
        <f t="shared" si="1"/>
        <v>458590.42469199927</v>
      </c>
      <c r="I14" s="22">
        <f t="shared" si="3"/>
        <v>1844909.5753080007</v>
      </c>
    </row>
    <row r="15" spans="1:9" ht="15.75" customHeight="1" x14ac:dyDescent="0.25">
      <c r="A15" s="7">
        <f t="shared" si="2"/>
        <v>2030</v>
      </c>
      <c r="B15" s="77">
        <v>394558.95199999999</v>
      </c>
      <c r="C15" s="78">
        <v>846000</v>
      </c>
      <c r="D15" s="78">
        <v>1471000</v>
      </c>
      <c r="E15" s="78">
        <v>15400</v>
      </c>
      <c r="F15" s="78">
        <v>14200</v>
      </c>
      <c r="G15" s="22">
        <f t="shared" si="0"/>
        <v>2346600</v>
      </c>
      <c r="H15" s="22">
        <f t="shared" si="1"/>
        <v>461499.98654890526</v>
      </c>
      <c r="I15" s="22">
        <f t="shared" si="3"/>
        <v>1885100.0134510947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128.66264537416853</v>
      </c>
      <c r="I17" s="22">
        <f t="shared" si="4"/>
        <v>-128.66264537416853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4.9334369000000003E-2</v>
      </c>
    </row>
    <row r="4" spans="1:8" ht="15.75" customHeight="1" x14ac:dyDescent="0.25">
      <c r="B4" s="24" t="s">
        <v>7</v>
      </c>
      <c r="C4" s="79">
        <v>0.2058203545156542</v>
      </c>
    </row>
    <row r="5" spans="1:8" ht="15.75" customHeight="1" x14ac:dyDescent="0.25">
      <c r="B5" s="24" t="s">
        <v>8</v>
      </c>
      <c r="C5" s="79">
        <v>0.11203026088282569</v>
      </c>
    </row>
    <row r="6" spans="1:8" ht="15.75" customHeight="1" x14ac:dyDescent="0.25">
      <c r="B6" s="24" t="s">
        <v>10</v>
      </c>
      <c r="C6" s="79">
        <v>0.13759351155254931</v>
      </c>
    </row>
    <row r="7" spans="1:8" ht="15.75" customHeight="1" x14ac:dyDescent="0.25">
      <c r="B7" s="24" t="s">
        <v>13</v>
      </c>
      <c r="C7" s="79">
        <v>0.12679702963916722</v>
      </c>
    </row>
    <row r="8" spans="1:8" ht="15.75" customHeight="1" x14ac:dyDescent="0.25">
      <c r="B8" s="24" t="s">
        <v>14</v>
      </c>
      <c r="C8" s="79">
        <v>1.0959959678025977E-2</v>
      </c>
    </row>
    <row r="9" spans="1:8" ht="15.75" customHeight="1" x14ac:dyDescent="0.25">
      <c r="B9" s="24" t="s">
        <v>27</v>
      </c>
      <c r="C9" s="79">
        <v>0.1194131234005685</v>
      </c>
    </row>
    <row r="10" spans="1:8" ht="15.75" customHeight="1" x14ac:dyDescent="0.25">
      <c r="B10" s="24" t="s">
        <v>15</v>
      </c>
      <c r="C10" s="79">
        <v>0.23805139133120901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0.15731500072646501</v>
      </c>
      <c r="D14" s="79">
        <v>0.15731500072646501</v>
      </c>
      <c r="E14" s="79">
        <v>0.13677326780372001</v>
      </c>
      <c r="F14" s="79">
        <v>0.13677326780372001</v>
      </c>
    </row>
    <row r="15" spans="1:8" ht="15.75" customHeight="1" x14ac:dyDescent="0.25">
      <c r="B15" s="24" t="s">
        <v>16</v>
      </c>
      <c r="C15" s="79">
        <v>0.23316052940766999</v>
      </c>
      <c r="D15" s="79">
        <v>0.23316052940766999</v>
      </c>
      <c r="E15" s="79">
        <v>0.15970393624520801</v>
      </c>
      <c r="F15" s="79">
        <v>0.15970393624520801</v>
      </c>
    </row>
    <row r="16" spans="1:8" ht="15.75" customHeight="1" x14ac:dyDescent="0.25">
      <c r="B16" s="24" t="s">
        <v>17</v>
      </c>
      <c r="C16" s="79">
        <v>5.0028072185669903E-2</v>
      </c>
      <c r="D16" s="79">
        <v>5.0028072185669903E-2</v>
      </c>
      <c r="E16" s="79">
        <v>5.1754290403411299E-2</v>
      </c>
      <c r="F16" s="79">
        <v>5.1754290403411299E-2</v>
      </c>
    </row>
    <row r="17" spans="1:8" ht="15.75" customHeight="1" x14ac:dyDescent="0.25">
      <c r="B17" s="24" t="s">
        <v>18</v>
      </c>
      <c r="C17" s="79">
        <v>4.7149498997214202E-3</v>
      </c>
      <c r="D17" s="79">
        <v>4.7149498997214202E-3</v>
      </c>
      <c r="E17" s="79">
        <v>1.3548575547172601E-2</v>
      </c>
      <c r="F17" s="79">
        <v>1.3548575547172601E-2</v>
      </c>
    </row>
    <row r="18" spans="1:8" ht="15.75" customHeight="1" x14ac:dyDescent="0.25">
      <c r="B18" s="24" t="s">
        <v>19</v>
      </c>
      <c r="C18" s="79">
        <v>7.1174276949606305E-2</v>
      </c>
      <c r="D18" s="79">
        <v>7.1174276949606305E-2</v>
      </c>
      <c r="E18" s="79">
        <v>0.10498019322926</v>
      </c>
      <c r="F18" s="79">
        <v>0.10498019322926</v>
      </c>
    </row>
    <row r="19" spans="1:8" ht="15.75" customHeight="1" x14ac:dyDescent="0.25">
      <c r="B19" s="24" t="s">
        <v>20</v>
      </c>
      <c r="C19" s="79">
        <v>1.6231871545766101E-2</v>
      </c>
      <c r="D19" s="79">
        <v>1.6231871545766101E-2</v>
      </c>
      <c r="E19" s="79">
        <v>1.95918288459653E-2</v>
      </c>
      <c r="F19" s="79">
        <v>1.95918288459653E-2</v>
      </c>
    </row>
    <row r="20" spans="1:8" ht="15.75" customHeight="1" x14ac:dyDescent="0.25">
      <c r="B20" s="24" t="s">
        <v>21</v>
      </c>
      <c r="C20" s="79">
        <v>2.5943941893756501E-2</v>
      </c>
      <c r="D20" s="79">
        <v>2.5943941893756501E-2</v>
      </c>
      <c r="E20" s="79">
        <v>1.21988732905362E-2</v>
      </c>
      <c r="F20" s="79">
        <v>1.21988732905362E-2</v>
      </c>
    </row>
    <row r="21" spans="1:8" ht="15.75" customHeight="1" x14ac:dyDescent="0.25">
      <c r="B21" s="24" t="s">
        <v>22</v>
      </c>
      <c r="C21" s="79">
        <v>3.3314545833828799E-2</v>
      </c>
      <c r="D21" s="79">
        <v>3.3314545833828799E-2</v>
      </c>
      <c r="E21" s="79">
        <v>9.657845217337141E-2</v>
      </c>
      <c r="F21" s="79">
        <v>9.657845217337141E-2</v>
      </c>
    </row>
    <row r="22" spans="1:8" ht="15.75" customHeight="1" x14ac:dyDescent="0.25">
      <c r="B22" s="24" t="s">
        <v>23</v>
      </c>
      <c r="C22" s="79">
        <v>0.408116811557516</v>
      </c>
      <c r="D22" s="79">
        <v>0.408116811557516</v>
      </c>
      <c r="E22" s="79">
        <v>0.40487058246135521</v>
      </c>
      <c r="F22" s="79">
        <v>0.40487058246135521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8.8000000000000009E-2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0.15479999999999999</v>
      </c>
    </row>
    <row r="29" spans="1:8" ht="15.75" customHeight="1" x14ac:dyDescent="0.25">
      <c r="B29" s="24" t="s">
        <v>41</v>
      </c>
      <c r="C29" s="79">
        <v>0.16800000000000001</v>
      </c>
    </row>
    <row r="30" spans="1:8" ht="15.75" customHeight="1" x14ac:dyDescent="0.25">
      <c r="B30" s="24" t="s">
        <v>42</v>
      </c>
      <c r="C30" s="79">
        <v>0.1045</v>
      </c>
    </row>
    <row r="31" spans="1:8" ht="15.75" customHeight="1" x14ac:dyDescent="0.25">
      <c r="B31" s="24" t="s">
        <v>43</v>
      </c>
      <c r="C31" s="79">
        <v>0.10830000000000001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8.4100000000000008E-2</v>
      </c>
    </row>
    <row r="34" spans="2:3" ht="15.75" customHeight="1" x14ac:dyDescent="0.25">
      <c r="B34" s="24" t="s">
        <v>46</v>
      </c>
      <c r="C34" s="79">
        <v>0.26469999999776483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0.67378024154436145</v>
      </c>
      <c r="D2" s="80">
        <v>0.67378024154436145</v>
      </c>
      <c r="E2" s="80">
        <v>0.52427390315267175</v>
      </c>
      <c r="F2" s="80">
        <v>0.29588001024532273</v>
      </c>
      <c r="G2" s="80">
        <v>0.23964891421931842</v>
      </c>
    </row>
    <row r="3" spans="1:15" ht="15.75" customHeight="1" x14ac:dyDescent="0.25">
      <c r="A3" s="5"/>
      <c r="B3" s="11" t="s">
        <v>118</v>
      </c>
      <c r="C3" s="80">
        <v>0.22359076467915562</v>
      </c>
      <c r="D3" s="80">
        <v>0.22359076467915562</v>
      </c>
      <c r="E3" s="80">
        <v>0.28121971816618413</v>
      </c>
      <c r="F3" s="80">
        <v>0.26232660702162625</v>
      </c>
      <c r="G3" s="80">
        <v>0.31855770304763054</v>
      </c>
    </row>
    <row r="4" spans="1:15" ht="15.75" customHeight="1" x14ac:dyDescent="0.25">
      <c r="A4" s="5"/>
      <c r="B4" s="11" t="s">
        <v>116</v>
      </c>
      <c r="C4" s="81">
        <v>6.6464491207627138E-2</v>
      </c>
      <c r="D4" s="81">
        <v>6.6464491207627138E-2</v>
      </c>
      <c r="E4" s="81">
        <v>0.11435802163665255</v>
      </c>
      <c r="F4" s="81">
        <v>0.28931602055084754</v>
      </c>
      <c r="G4" s="81">
        <v>0.28931602055084754</v>
      </c>
    </row>
    <row r="5" spans="1:15" ht="15.75" customHeight="1" x14ac:dyDescent="0.25">
      <c r="A5" s="5"/>
      <c r="B5" s="11" t="s">
        <v>119</v>
      </c>
      <c r="C5" s="81">
        <v>3.6164502568855943E-2</v>
      </c>
      <c r="D5" s="81">
        <v>3.6164502568855943E-2</v>
      </c>
      <c r="E5" s="81">
        <v>8.0148357044491525E-2</v>
      </c>
      <c r="F5" s="81">
        <v>0.15247736218220342</v>
      </c>
      <c r="G5" s="81">
        <v>0.15247736218220342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0.90700515309788576</v>
      </c>
      <c r="D8" s="80">
        <v>0.90700515309788576</v>
      </c>
      <c r="E8" s="80">
        <v>0.84700227050104382</v>
      </c>
      <c r="F8" s="80">
        <v>0.88833254387900717</v>
      </c>
      <c r="G8" s="80">
        <v>0.93148470533576</v>
      </c>
    </row>
    <row r="9" spans="1:15" ht="15.75" customHeight="1" x14ac:dyDescent="0.25">
      <c r="B9" s="7" t="s">
        <v>121</v>
      </c>
      <c r="C9" s="80">
        <v>7.1360724702114173E-2</v>
      </c>
      <c r="D9" s="80">
        <v>7.1360724702114173E-2</v>
      </c>
      <c r="E9" s="80">
        <v>0.12360559449895617</v>
      </c>
      <c r="F9" s="80">
        <v>7.3613223120992777E-2</v>
      </c>
      <c r="G9" s="80">
        <v>5.6968485197573304E-2</v>
      </c>
    </row>
    <row r="10" spans="1:15" ht="15.75" customHeight="1" x14ac:dyDescent="0.25">
      <c r="B10" s="7" t="s">
        <v>122</v>
      </c>
      <c r="C10" s="81">
        <v>4.8801212000000142E-3</v>
      </c>
      <c r="D10" s="81">
        <v>4.8801212000000142E-3</v>
      </c>
      <c r="E10" s="81">
        <v>1.1853276000000001E-2</v>
      </c>
      <c r="F10" s="81">
        <v>3.1816151500000001E-2</v>
      </c>
      <c r="G10" s="81">
        <v>8.5729653666666641E-3</v>
      </c>
    </row>
    <row r="11" spans="1:15" ht="15.75" customHeight="1" x14ac:dyDescent="0.25">
      <c r="B11" s="7" t="s">
        <v>123</v>
      </c>
      <c r="C11" s="81">
        <v>1.6754001000000001E-2</v>
      </c>
      <c r="D11" s="81">
        <v>1.6754001000000001E-2</v>
      </c>
      <c r="E11" s="81">
        <v>1.7538859E-2</v>
      </c>
      <c r="F11" s="81">
        <v>6.2380815000000001E-3</v>
      </c>
      <c r="G11" s="81">
        <v>2.9738440999999998E-3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0.7628772305</v>
      </c>
      <c r="D14" s="82">
        <v>0.73898727781200013</v>
      </c>
      <c r="E14" s="82">
        <v>0.73898727781200013</v>
      </c>
      <c r="F14" s="82">
        <v>0.45575443164700002</v>
      </c>
      <c r="G14" s="82">
        <v>0.45575443164700002</v>
      </c>
      <c r="H14" s="83">
        <v>0.24399999999999999</v>
      </c>
      <c r="I14" s="83">
        <v>0.24399999999999999</v>
      </c>
      <c r="J14" s="83">
        <v>0.24399999999999999</v>
      </c>
      <c r="K14" s="83">
        <v>0.24399999999999999</v>
      </c>
      <c r="L14" s="83">
        <v>0.25164744314999998</v>
      </c>
      <c r="M14" s="83">
        <v>0.23882569244999999</v>
      </c>
      <c r="N14" s="83">
        <v>0.15308950226449999</v>
      </c>
      <c r="O14" s="83">
        <v>0.253133885399</v>
      </c>
    </row>
    <row r="15" spans="1:15" ht="15.75" customHeight="1" x14ac:dyDescent="0.25">
      <c r="B15" s="16" t="s">
        <v>68</v>
      </c>
      <c r="C15" s="80">
        <f>iron_deficiency_anaemia*C14</f>
        <v>0.42845004627915517</v>
      </c>
      <c r="D15" s="80">
        <f t="shared" ref="D15:O15" si="0">iron_deficiency_anaemia*D14</f>
        <v>0.41503287910525516</v>
      </c>
      <c r="E15" s="80">
        <f t="shared" si="0"/>
        <v>0.41503287910525516</v>
      </c>
      <c r="F15" s="80">
        <f t="shared" si="0"/>
        <v>0.25596255796375778</v>
      </c>
      <c r="G15" s="80">
        <f t="shared" si="0"/>
        <v>0.25596255796375778</v>
      </c>
      <c r="H15" s="80">
        <f t="shared" si="0"/>
        <v>0.13703621908284738</v>
      </c>
      <c r="I15" s="80">
        <f t="shared" si="0"/>
        <v>0.13703621908284738</v>
      </c>
      <c r="J15" s="80">
        <f t="shared" si="0"/>
        <v>0.13703621908284738</v>
      </c>
      <c r="K15" s="80">
        <f t="shared" si="0"/>
        <v>0.13703621908284738</v>
      </c>
      <c r="L15" s="80">
        <f t="shared" si="0"/>
        <v>0.14133120553746631</v>
      </c>
      <c r="M15" s="80">
        <f t="shared" si="0"/>
        <v>0.13413020456225791</v>
      </c>
      <c r="N15" s="80">
        <f t="shared" si="0"/>
        <v>8.5978715457385585E-2</v>
      </c>
      <c r="O15" s="80">
        <f t="shared" si="0"/>
        <v>0.14216602695422029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0.93500000000000005</v>
      </c>
      <c r="D2" s="81">
        <v>0.86199999999999999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5.5E-2</v>
      </c>
      <c r="D3" s="81">
        <v>7.400000000000001E-2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4.0000000000000001E-3</v>
      </c>
      <c r="D4" s="81">
        <v>0.06</v>
      </c>
      <c r="E4" s="81">
        <v>0.98599999999999999</v>
      </c>
      <c r="F4" s="81">
        <v>0.91200000000000003</v>
      </c>
      <c r="G4" s="81">
        <v>0</v>
      </c>
    </row>
    <row r="5" spans="1:7" x14ac:dyDescent="0.25">
      <c r="B5" s="43" t="s">
        <v>169</v>
      </c>
      <c r="C5" s="80">
        <f>1-SUM(C2:C4)</f>
        <v>5.9999999999998943E-3</v>
      </c>
      <c r="D5" s="80">
        <f>1-SUM(D2:D4)</f>
        <v>4.0000000000000036E-3</v>
      </c>
      <c r="E5" s="80">
        <f>1-SUM(E2:E4)</f>
        <v>1.4000000000000012E-2</v>
      </c>
      <c r="F5" s="80">
        <f>1-SUM(F2:F4)</f>
        <v>8.7999999999999967E-2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0.40380000000000005</v>
      </c>
      <c r="D2" s="144">
        <v>0.40118000000000004</v>
      </c>
      <c r="E2" s="144">
        <v>0.39829000000000003</v>
      </c>
      <c r="F2" s="144">
        <v>0.39524000000000004</v>
      </c>
      <c r="G2" s="144">
        <v>0.39188000000000001</v>
      </c>
      <c r="H2" s="144">
        <v>0.38717000000000001</v>
      </c>
      <c r="I2" s="144">
        <v>0.38250999999999996</v>
      </c>
      <c r="J2" s="144">
        <v>0.37792999999999999</v>
      </c>
      <c r="K2" s="144">
        <v>0.37340000000000001</v>
      </c>
      <c r="L2" s="144">
        <v>0.36892999999999998</v>
      </c>
      <c r="M2" s="144">
        <v>0.36451</v>
      </c>
      <c r="N2" s="144">
        <v>0.36013000000000001</v>
      </c>
      <c r="O2" s="144">
        <v>0.35581000000000002</v>
      </c>
      <c r="P2" s="144">
        <v>0.35158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2.6509999999999999E-2</v>
      </c>
      <c r="D4" s="144">
        <v>2.4580000000000001E-2</v>
      </c>
      <c r="E4" s="144">
        <v>2.282E-2</v>
      </c>
      <c r="F4" s="144">
        <v>2.12E-2</v>
      </c>
      <c r="G4" s="144">
        <v>1.9740000000000001E-2</v>
      </c>
      <c r="H4" s="144">
        <v>1.8579999999999999E-2</v>
      </c>
      <c r="I4" s="144">
        <v>1.7500000000000002E-2</v>
      </c>
      <c r="J4" s="144">
        <v>1.6479999999999998E-2</v>
      </c>
      <c r="K4" s="144">
        <v>1.5509999999999999E-2</v>
      </c>
      <c r="L4" s="144">
        <v>1.4610000000000001E-2</v>
      </c>
      <c r="M4" s="144">
        <v>1.376E-2</v>
      </c>
      <c r="N4" s="144">
        <v>1.2969999999999999E-2</v>
      </c>
      <c r="O4" s="144">
        <v>1.222E-2</v>
      </c>
      <c r="P4" s="144">
        <v>1.1519999999999999E-2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0.28800024164495558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0.13703621908284738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0.12369729992645628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0.87416666666666654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0.93666666666666665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46.95</v>
      </c>
      <c r="D13" s="143">
        <v>45.722999999999999</v>
      </c>
      <c r="E13" s="143">
        <v>43.637</v>
      </c>
      <c r="F13" s="143">
        <v>43.182000000000002</v>
      </c>
      <c r="G13" s="143">
        <v>40.412999999999997</v>
      </c>
      <c r="H13" s="143">
        <v>39.543999999999997</v>
      </c>
      <c r="I13" s="143">
        <v>37.97</v>
      </c>
      <c r="J13" s="143">
        <v>36.357999999999997</v>
      </c>
      <c r="K13" s="143">
        <v>35.372999999999998</v>
      </c>
      <c r="L13" s="143">
        <v>33.186</v>
      </c>
      <c r="M13" s="143">
        <v>35.567</v>
      </c>
      <c r="N13" s="143">
        <v>30.408999999999999</v>
      </c>
      <c r="O13" s="143">
        <v>31.594999999999999</v>
      </c>
      <c r="P13" s="143">
        <v>31.721</v>
      </c>
    </row>
    <row r="14" spans="1:16" x14ac:dyDescent="0.25">
      <c r="B14" s="16" t="s">
        <v>170</v>
      </c>
      <c r="C14" s="143">
        <f>maternal_mortality</f>
        <v>2.9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0.38200000000000001</v>
      </c>
      <c r="E2" s="92">
        <f>food_insecure</f>
        <v>0.38200000000000001</v>
      </c>
      <c r="F2" s="92">
        <f>food_insecure</f>
        <v>0.38200000000000001</v>
      </c>
      <c r="G2" s="92">
        <f>food_insecure</f>
        <v>0.38200000000000001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0.38200000000000001</v>
      </c>
      <c r="F5" s="92">
        <f>food_insecure</f>
        <v>0.38200000000000001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0.10745356838625</v>
      </c>
      <c r="D7" s="92">
        <f>diarrhoea_1_5mo/26</f>
        <v>0.10429224655807692</v>
      </c>
      <c r="E7" s="92">
        <f>diarrhoea_6_11mo/26</f>
        <v>0.10429224655807692</v>
      </c>
      <c r="F7" s="92">
        <f>diarrhoea_12_23mo/26</f>
        <v>6.9469883664230375E-2</v>
      </c>
      <c r="G7" s="92">
        <f>diarrhoea_24_59mo/26</f>
        <v>6.9469883664230375E-2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0.38200000000000001</v>
      </c>
      <c r="F8" s="92">
        <f>food_insecure</f>
        <v>0.38200000000000001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0.53900000000000003</v>
      </c>
      <c r="E9" s="92">
        <f>IF(ISBLANK(comm_deliv), frac_children_health_facility,1)</f>
        <v>0.53900000000000003</v>
      </c>
      <c r="F9" s="92">
        <f>IF(ISBLANK(comm_deliv), frac_children_health_facility,1)</f>
        <v>0.53900000000000003</v>
      </c>
      <c r="G9" s="92">
        <f>IF(ISBLANK(comm_deliv), frac_children_health_facility,1)</f>
        <v>0.53900000000000003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0.10745356838625</v>
      </c>
      <c r="D11" s="92">
        <f>diarrhoea_1_5mo/26</f>
        <v>0.10429224655807692</v>
      </c>
      <c r="E11" s="92">
        <f>diarrhoea_6_11mo/26</f>
        <v>0.10429224655807692</v>
      </c>
      <c r="F11" s="92">
        <f>diarrhoea_12_23mo/26</f>
        <v>6.9469883664230375E-2</v>
      </c>
      <c r="G11" s="92">
        <f>diarrhoea_24_59mo/26</f>
        <v>6.9469883664230375E-2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0.38200000000000001</v>
      </c>
      <c r="I14" s="92">
        <f>food_insecure</f>
        <v>0.38200000000000001</v>
      </c>
      <c r="J14" s="92">
        <f>food_insecure</f>
        <v>0.38200000000000001</v>
      </c>
      <c r="K14" s="92">
        <f>food_insecure</f>
        <v>0.38200000000000001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0.439</v>
      </c>
      <c r="I17" s="92">
        <f>frac_PW_health_facility</f>
        <v>0.439</v>
      </c>
      <c r="J17" s="92">
        <f>frac_PW_health_facility</f>
        <v>0.439</v>
      </c>
      <c r="K17" s="92">
        <f>frac_PW_health_facility</f>
        <v>0.439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7.0000000000000007E-2</v>
      </c>
      <c r="I18" s="92">
        <f>frac_malaria_risk</f>
        <v>7.0000000000000007E-2</v>
      </c>
      <c r="J18" s="92">
        <f>frac_malaria_risk</f>
        <v>7.0000000000000007E-2</v>
      </c>
      <c r="K18" s="92">
        <f>frac_malaria_risk</f>
        <v>7.0000000000000007E-2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0.34100000000000003</v>
      </c>
      <c r="M23" s="92">
        <f>famplan_unmet_need</f>
        <v>0.34100000000000003</v>
      </c>
      <c r="N23" s="92">
        <f>famplan_unmet_need</f>
        <v>0.34100000000000003</v>
      </c>
      <c r="O23" s="92">
        <f>famplan_unmet_need</f>
        <v>0.34100000000000003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0.39975233685073819</v>
      </c>
      <c r="M24" s="92">
        <f>(1-food_insecure)*(0.49)+food_insecure*(0.7)</f>
        <v>0.57021999999999995</v>
      </c>
      <c r="N24" s="92">
        <f>(1-food_insecure)*(0.49)+food_insecure*(0.7)</f>
        <v>0.57021999999999995</v>
      </c>
      <c r="O24" s="92">
        <f>(1-food_insecure)*(0.49)+food_insecure*(0.7)</f>
        <v>0.57021999999999995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0.17132243007888784</v>
      </c>
      <c r="M25" s="92">
        <f>(1-food_insecure)*(0.21)+food_insecure*(0.3)</f>
        <v>0.24437999999999999</v>
      </c>
      <c r="N25" s="92">
        <f>(1-food_insecure)*(0.21)+food_insecure*(0.3)</f>
        <v>0.24437999999999999</v>
      </c>
      <c r="O25" s="92">
        <f>(1-food_insecure)*(0.21)+food_insecure*(0.3)</f>
        <v>0.24437999999999999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0.1299745418472289</v>
      </c>
      <c r="M26" s="92">
        <f>(1-food_insecure)*(0.3)</f>
        <v>0.18539999999999998</v>
      </c>
      <c r="N26" s="92">
        <f>(1-food_insecure)*(0.3)</f>
        <v>0.18539999999999998</v>
      </c>
      <c r="O26" s="92">
        <f>(1-food_insecure)*(0.3)</f>
        <v>0.18539999999999998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0.29895069122314499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7.0000000000000007E-2</v>
      </c>
      <c r="D33" s="92">
        <f t="shared" si="3"/>
        <v>7.0000000000000007E-2</v>
      </c>
      <c r="E33" s="92">
        <f t="shared" si="3"/>
        <v>7.0000000000000007E-2</v>
      </c>
      <c r="F33" s="92">
        <f t="shared" si="3"/>
        <v>7.0000000000000007E-2</v>
      </c>
      <c r="G33" s="92">
        <f t="shared" si="3"/>
        <v>7.0000000000000007E-2</v>
      </c>
      <c r="H33" s="92">
        <f t="shared" si="3"/>
        <v>7.0000000000000007E-2</v>
      </c>
      <c r="I33" s="92">
        <f t="shared" si="3"/>
        <v>7.0000000000000007E-2</v>
      </c>
      <c r="J33" s="92">
        <f t="shared" si="3"/>
        <v>7.0000000000000007E-2</v>
      </c>
      <c r="K33" s="92">
        <f t="shared" si="3"/>
        <v>7.0000000000000007E-2</v>
      </c>
      <c r="L33" s="92">
        <f t="shared" si="3"/>
        <v>7.0000000000000007E-2</v>
      </c>
      <c r="M33" s="92">
        <f t="shared" si="3"/>
        <v>7.0000000000000007E-2</v>
      </c>
      <c r="N33" s="92">
        <f t="shared" si="3"/>
        <v>7.0000000000000007E-2</v>
      </c>
      <c r="O33" s="92">
        <f t="shared" si="3"/>
        <v>7.0000000000000007E-2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2020-03-24T06:50:21Z</dcterms:modified>
</cp:coreProperties>
</file>