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E812FA7-061D-4DCC-9D17-FBF7339C559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/>
  <c r="G36" i="2"/>
  <c r="H36" i="2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C7" i="51" s="1"/>
  <c r="I15" i="5"/>
  <c r="H15" i="5"/>
  <c r="G15" i="5"/>
  <c r="F15" i="5"/>
  <c r="E15" i="5"/>
  <c r="D15" i="5"/>
  <c r="C6" i="51" s="1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H11" i="2"/>
  <c r="H12" i="2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38" i="2"/>
  <c r="I18" i="2"/>
  <c r="I29" i="2"/>
  <c r="I3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8" i="51" l="1"/>
  <c r="I15" i="2"/>
  <c r="I14" i="2"/>
  <c r="I12" i="2"/>
  <c r="I11" i="2"/>
  <c r="I10" i="2"/>
  <c r="I9" i="2"/>
  <c r="I8" i="2"/>
  <c r="I7" i="2"/>
  <c r="I6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06964576-1B02-45F8-AF7B-F7AD6D5899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611287A-D429-445B-8291-2508AA25157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2F4AC848-1DB2-496A-A826-D3081FB39E0B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07A5EDFB-E9CD-4C33-AE4E-E57C7276CB7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B2A26EFB-A423-4534-A24D-D21FE957B55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3221B6A6-982E-454B-B413-4BC8FF263E91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98038057-225B-4FB4-844A-D1F76ACBBBF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C164950A-5546-449F-9466-DADDEDFFFAD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B72B19A9-12B3-4E9B-A6BA-3C92E67EAC8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9192EEE2-28D1-4B2F-B7A0-0F064F75D5F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AC1003D6-4E8E-4DD8-A854-11CDAD903B6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35F0EAD-3A3F-46D8-859A-9EA833E4ED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D1215EC-CED1-43FA-9AD8-00E8BEDFB66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83FBEE9D-6473-4575-B704-9B35FD8851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1EE885DD-8915-4DA1-9400-A1F1DABA22C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5A38BD71-A2AB-4595-AFF8-6BC6ADCE90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2A796E6-1B25-43B5-B2AE-366D8450B2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50417F1-0680-4251-9D5F-C709E26107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45F28B9F-E35F-4585-86CF-37F88B770A9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FD26C78D-9738-4E9D-B3DA-616CA19F663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D45FB8F3-5704-457C-B4CD-33442A7F84C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33B80226-2074-472D-9121-712F5AC0223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47154408-9964-4C88-952A-6149E03A7076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808C05D-5923-45D6-87A0-81D4EFBE35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E647BC33-C51F-4074-88E0-741D4A21F40E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721A5153-4F3D-4C83-8427-E085019B6A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699D7807-7630-4727-A9DF-FD4E7B29872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D8142797-0240-478B-9E8A-E1C3C6C356D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71803A18-A6EB-4843-B9CF-5A5E5407F9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EFD8A957-E127-4CE4-BEE3-0940020A70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A6A17E20-343C-4026-95BA-7F8DFC82E8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3815C05C-C10F-49E9-8761-3BA5CB0CD1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87064469-BB31-4783-9AB7-449BC56A05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A9ADFDFB-0903-4A66-8800-BCF5FB3C56A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2435BA2D-1B11-482E-A151-4032AFB5902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F6282E8-26B4-4AA2-99C0-B6C13033E6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F76EAC74-E6A1-420D-AE98-046AF8A0F8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6CA65FE8-0B74-41A7-B45B-C98BA35E03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7CC60655-F928-4569-A82E-225C50B842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2FCBB5FB-4ED8-4D99-A616-C21385F6D3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497F88B3-40C3-438E-863B-5F3C927A43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61834F8-30B0-40F8-966E-BE6D6B17B8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896E88FB-2C6E-4D2D-A7C3-861A651EC6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4E84ACE2-57DF-4158-B3FC-2A7ED9B400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EEAFF6C-4D07-457B-9E13-8724214600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9E2E0C62-F6B2-4ADF-A148-D5EC472ABA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0B9AFC8-3EDE-48F6-9874-A1894296EF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24D88A75-2DFA-46E8-A371-D5CB79D59B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FD8CD2C-1402-469A-AD30-C3C22F83AB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63E2E49D-4B4D-4E20-8E54-BF9199498F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60A80569-8CAE-45E7-B25D-C0AF865E20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6E91CBF6-7928-4196-9D4D-4F3AAE8B07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8AF65DA4-9120-4631-AE19-F3AF4D5E37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992B045-C86D-429B-BC93-6B90F3237F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04039C13-E791-4036-A517-CFECE6422A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58694683-2B64-4BC6-B07B-942763B73D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D4CA4E5E-3C12-4B42-8F0B-0464F0CAD4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27B2705-6A32-4C74-9654-2F28594674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AF05691C-3E59-4909-BCFB-D82ECB2351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1A103520-1791-480D-AFFB-992D71FBBC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BA0FDAB4-9BEB-48D3-8D60-6A9E5456CD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B7815A10-9D65-4EA7-A639-4864D98A09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CD31624-1F4B-4C80-9A6F-353EDF1DF4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A1727B04-A930-4F53-AF27-C4891AB21E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BB882F05-810B-475F-A6BB-6B9834688A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7FF1395F-E9B3-4306-BEBA-EE8D1A491C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9C4DAE9-17DE-4F3C-B423-C9BB0C0EA9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5D0F3E50-22D6-4DA0-AB27-76EDA3D588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CCD7BBD-40BE-494C-BEC3-94E8DCB362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B36CCCED-8F17-4D50-9587-CA63497546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F96D64D-96AA-443C-9823-A5D4242509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9876551F-C252-4144-AE06-F45DA06975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738B68A-ACD3-4DCB-B14D-53D4EB7326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931E804-4453-45F3-A62B-3A67C3A525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896C263-6059-4338-96DE-CAEDF315DC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8BCAD8B1-B369-43CA-973F-001827B324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C215DDC0-DDD4-4F2E-97DD-C106E6CBF3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9B52B1BB-89A4-4237-9AB3-4A443FA6A5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71609FA0-08A8-4F25-B54C-12E797828D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B4FB3D61-15FC-4683-91C9-8F1D615FF6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F30181C2-75DE-4167-B701-D837469E76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26AF3305-E3A5-4FCC-9895-9F2E96206F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F41BB24B-7CD7-428E-BF13-33EAA8675A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19F7D1C-E0AF-4425-BEB5-5B16F5CBBA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7A1B54F0-FDC9-43B2-8356-5694DEC42A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098E17AF-55BC-467E-ADC3-4020826FE8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77AF5794-AFD4-413A-B4E9-C10621A265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C091556-14A7-4F34-955E-F849C93C7E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6FBDC13C-BF83-432D-B202-307D016626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AFDDCE9-0A94-42B9-B93B-E81966B691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80B1D4BB-2C63-4221-9C00-14CEAAFC13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7F80CDEE-D1D9-43DE-B9F0-B823545159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11960114-0944-4E25-81E7-F17D043A09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755431BB-0003-408E-A4E4-D485BFDFB9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1A4FB3E6-F51D-4A1A-87E8-5CB668237C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3D9EADEE-7A00-4298-B9E2-EF326AA0C6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2A12C552-9339-4F8E-8EE0-F47A6609F9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B4057957-F03A-48A5-939B-D81582AD22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9E9B8496-5A9C-4730-AE09-BE86227190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44BD8526-0215-4999-923F-6CA1319069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61606E2D-9643-4FE0-B6FB-B43BFEDC9E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BF6FB214-5943-49C8-9B04-9F2B60D70E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61AA6892-E24D-4753-AC4F-EE338D7663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D6853992-39CE-4B0B-8F61-980BCB2136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59F17224-B831-49DE-9D05-A101035951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A0B4A1F0-6C98-4231-9460-A7CB5B497C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8604C48-A02E-403D-B4C6-DF341FF9E5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47EAF482-C893-4DA1-BD01-16DEB7EF62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8677F365-B248-4E9A-ADED-D88C2AAE29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F127281A-D02E-494E-A08B-B677D82E60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F15CD0A-E06F-4768-ADAB-914EE45827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686BE1B-16A4-49F5-AB23-C3A7A3B9C1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B459827D-01EB-4D20-832C-B820D29868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FEC98A1A-8614-416B-A02A-4B3FB408BF4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2F2E59B1-1AF4-4953-95DC-A0356F2E78C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A97FD5F9-FB1F-45F8-ABB6-B8F2633E921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1EEC9710-C958-403B-AE53-6869396E6ED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A0B0AD9B-112E-4EA8-A341-A69C33AF05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A7837DEF-FC4B-41A4-8C18-76011690C93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CD2097E-88B0-46FF-9E54-F945540AE2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A367494-2E51-498E-9491-1498121ADB5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499FD6B0-59A0-4CA2-9D1B-F19D349DFC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8C5B220A-43C0-4DB7-A0F6-B59EB191C44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CDE5873F-B0B8-466E-A850-A23586A30A7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B11E1A15-CDF8-471E-808B-D75DAA5CCBD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7A157F30-ECC3-450C-AF4B-7BA47A4F187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0E2082E3-9D34-406B-8CAD-E03EC455D8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2AD8AEF4-2A52-487B-9FA7-40DD5BCE8A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6C8F40A3-9670-4648-AAE3-BCCBA4CEEE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EBFBDC1F-8058-4879-837C-2B0CA26CD45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255E9E3-155D-4863-916E-46A732F987A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EE214515-896B-42E5-BFD0-6EEB082623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630E0BE8-AE7D-49B7-8061-6E3FD09F2E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E85DF126-5D21-4616-A609-92EDEEAE343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E1DA2107-9C7C-48AB-BCA3-1542582A5B2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DCBBD6C9-A3F9-484C-8D0F-AF2389E932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74EB3B3-75EE-4612-A865-D52C20F6C10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7A188327-E6BA-4445-8532-C8A808B50CC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D1955961-3102-4BD9-828B-1D36B413788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FF4D2086-0E93-4C42-9D85-6EBB721F84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2C921E7-600C-4A6F-93E7-315AE1BB365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BF668D5F-8724-4CAD-AFE0-FD69F47E086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253B2EA9-60A1-4651-8EE1-0CCB018BF29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4A139890-0AB8-44A8-995B-66848BEEDE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07DECCB-43ED-4102-867F-E4FC6A9E6D7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63E8606E-64AF-47F3-B5C6-D84D315CCC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6D6C4FFB-BE59-46D7-A3B0-527575A7593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0CA4704-8BC4-4596-96E7-A7713EFA69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8F3520D9-DE06-46C8-B49C-1A8DB30F3E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7310533B-0E50-4E80-8280-F2B08651563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BE753D0D-1794-470E-B563-F08D9E65E7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124DEAED-759F-494F-B743-FA01AD928BD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6CA2813-9E76-4CBE-A4E8-D8A211B759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5682A48-CD5B-430B-812B-CDFE829208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2DD93B7-8203-464C-B96A-559047BAF80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217091C-4000-4932-8CCC-CAF99F4D5F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92D300D6-937B-4D29-92DC-CBD756056A3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796155EF-96B9-43ED-BE52-95CF509C7CD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FE59ED8D-8A1B-485D-ACB6-63ED6BFCE4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D7F3AF8-0AB0-41AF-9B33-44644B1A7E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8B7977A1-628B-444F-BD62-61C2117053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EDD3BD9-2B2F-4CD0-84FE-A083F42735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6FD86E6D-9A33-4EAD-AD11-D6A734EE3A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9A97A541-AB46-4721-805E-5CAED93E14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9FCFB08-CF19-477E-8C63-77EF148BE4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DCE81993-D6F6-4A60-BDEC-4488557536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4116E54D-F60B-444E-ADD7-BD29DF26F1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BB14B4B9-606A-447E-8EFA-37D785C20D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8A241876-8526-4CFC-981E-90E414B528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8003B25-BD96-4705-A10E-9BA4BCA3DA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588561C7-B65F-4B39-9A56-869DD908B3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82070288-C527-4981-A9C2-C8D7185184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7792B8AD-2F35-4742-92E6-A376F38793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5BEC7A15-DEF1-43A8-9A33-2FB2E59F0F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0DAA688E-6DFE-40D0-BBC8-8C1368279C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D61C55EA-D4EB-4266-8FDA-B92A265D725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4BDD717A-F614-4D94-BD1A-F3E8B156FB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BD1CD2A0-2BE0-4299-8099-83E10C40A0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8D79AA63-4299-4698-BC28-7578DAD0D3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4F2E8DDB-54A9-4F12-96EA-61C19EBE700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2290A557-5E91-490A-B472-82E552634D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CD57F260-B1F8-4860-85AA-39DF9F80DE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057EA182-F610-4BD0-961D-FA489ADBC1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1943F7EE-A6EE-4C1E-A846-67EB27DCCE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D9CEECE8-DD04-405A-A6E6-B2F8489271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DD318DE9-3505-4C7C-96DA-3B1C84A319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792E4153-CDB2-4C7F-94A2-660C35A488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8311CCB0-635F-481E-B7B1-CAD57C874B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3C4224A3-4AB6-423E-881A-B07730CA6F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B664C7C1-EACA-42E8-8142-1041EAC1B9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4C0EBC36-98B9-45C8-9EA5-C9FEE7A754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26A98F8C-2B03-429A-AE94-9D3F1AE78F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3355D51D-B415-4040-931C-43524CB5F7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904E5C50-C05B-40AE-A859-0C216056E6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F765E19E-91AD-4A4E-B25D-1C7010693C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C3C70ED5-A60A-4057-A80C-B83A4BF7E2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6854E0F5-8EF2-454E-BFC4-DE347AE3B8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50584A4E-A8DE-4C27-931B-2B09F8B72E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548985A7-F47A-497B-A20D-D6A7708F0D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11449598-497B-4073-B0F9-F603CF3987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E693A60-D080-46F2-82D0-ED3F5F5F35A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0721D2D1-A3E3-48FC-9702-C55A41C4F0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F955558-2146-4B8D-B857-3A84F9C286F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7F46522-BE19-450C-AD8B-F6ED4F0B64E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2A36E1AF-A2C2-484A-9BFC-1B2548131ED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4CE3507F-2541-4E9E-B35A-75A38A32370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AA031464-5373-49D2-BEAA-973BBA8646B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8882C556-6382-41FF-B0DD-8C2DFA6699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C780B794-6545-4815-9C6F-EB344525B3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49F65194-B3F3-4F4B-9E0F-CC0EA9A888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21F8CFB0-6339-4B7B-B8E1-4401E858AA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B45486D7-6816-4879-8C89-2C4A67C5AA1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D494BB34-A34C-490B-B615-C0E9F7B814C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CB4BF216-62A4-4B08-86F5-504D5BD4697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4C42FFA8-AE11-4820-8C8A-CC18D2CD34B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B29380EA-1D95-4ADD-8190-1674984A8DE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10364379-A16B-41D4-97A1-990E1C10E31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6AB9845B-9D4B-43FA-960A-10B06E5142E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FD91EEB1-FA06-4798-AC25-E32BCCF15C7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ECF0668-3C4C-44C7-8B4A-590254C332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F1CF1A36-C542-421E-9816-1C5A2A6A88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434C3841-0B89-4010-8998-805C70188B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159498C0-99AD-4C86-AD5A-BE56226204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A18C0C8F-E595-44EC-806B-046CD5FF2D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10602D11-5E92-41C2-A04B-B4A72DBD56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5821A519-21BA-4263-9E2F-419E91AB1E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1A57273C-5C58-48D0-8BA1-F77CF6CF15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CBC5747-4C0F-425B-A471-7971F17743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D5A6673F-59B8-436F-9992-A6943FED38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53AE3515-4DCC-49AC-9C56-06531C5215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7A12601-6036-4CB0-89CB-5B0C20B4B1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11F2F389-C940-4BD3-8720-0BD9214BC3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2ACE583C-2339-4481-BE0A-F509916DBB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DF881D0-2DE0-4590-9A1F-3042CB5A53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C9F60512-58EA-4AC6-9419-8A9810E698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F04F116A-E0EE-45DB-BBF8-61C6E9A4A3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D9450440-0E21-4BC2-8947-05AC548AE2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0CF5AF53-34A3-403B-B050-A8A3D90A11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C6C10059-CB21-41F1-9172-2A4162431D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48D43AAD-1E28-4DCA-8115-EE2381625F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AF74B4D9-1617-4FDD-8194-8194186BC8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CA557EF-F4EE-4D19-BC11-9161D5BBE9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19852BDC-D6E9-4CAE-82F0-A550B0FAB2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D185D5E7-CF50-424F-B09E-9122A30795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E7C7C149-3798-4971-9E11-754B39E727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C52A1AAB-2B4D-4411-A6B6-2E604C5F2C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211BF2A3-0B8B-4637-9076-3A58210CBF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3CBA2E78-DE38-4371-A1A0-D450B38727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3DD6B677-E51E-4AE6-94D2-E2EC1C5BA3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C088DE4-2301-4F7F-8C12-8A066AD03B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8E44A6B6-F72B-4AE5-9BF7-11518E8523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968F2550-BDAD-4C1A-A1E0-E1718BA60B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C409A3E7-F0C1-4270-9030-991ED9E685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E089EED6-342D-43E4-89AF-51CEAD7774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80E22AE9-E21F-4D5D-B84B-81BD4E3871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E8BFDB3A-60BE-4369-900B-E9E158E6E0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99011BEF-42C3-40A8-9E44-57395C4CB8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D947BF29-F0F3-403A-AD61-12C559609D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EF643083-D978-4910-AB89-CDFDEAFC38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82B4D1F-BB67-4CD6-94B7-0DEFC75C6D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FB372037-A245-4721-B7AA-DCE08DBF6B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DA82BBA4-6A04-4B0A-883F-3702A17D66B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7255D8F2-B68A-4011-8B9E-37B2E4763F0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DA1F8301-D9FF-4B72-8324-98C9B0D9170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4F08E790-18B0-4571-B87B-540D12A25AC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F411523-F15A-4325-A4C6-BDFDD4F41666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D24E3E60-0C5B-4655-A248-D6D8492D22C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B60AD699-6F02-4200-98BB-95F9789C303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D5735453-C6FF-4B02-AFAA-B236298930F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9B28A079-5ABA-40E8-B4E2-033ECE3ACBE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BAC4F5F1-E045-4A7E-9AF4-9236508A0F9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E3D7D06D-C1AB-49FB-833A-F5B3839FDE6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E0CDCC44-0F3A-402B-83CB-B24F672D3E2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4076DD4-47A0-4466-A95F-A59F6756ED1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C3BC2FB9-E1C6-48A7-AC64-4E0CAC3DDF3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E5BE9A26-1389-495D-9C69-0CDC27FEEAA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48C88CAF-BC22-4932-85BA-2399E14C7DA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740641EC-55EC-4296-B668-E89D55333B1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AD76496F-F52C-4053-AE21-5DFEFDDBD45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F3C319D6-F51D-4AF1-9178-D30EE8DC626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82C551C6-5936-4457-AEF9-8EF523ABEE6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378296D-4100-4503-9B0D-F3FBA1608DF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61B1F12-3949-4FC9-BC9C-FD862D29D39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BD7E469-1BB6-43F5-A634-C5A01FC6966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74686720-FEE9-42D2-8501-47B31969151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1884CD2C-0E4D-4E08-820D-BAE565D083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A54569CF-4C1E-44D7-A4F3-3F538A4C338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F59D7E90-D8A8-4129-A911-2EA5CBEBE2D1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9EF239AF-B92B-4909-9010-2FE225DE6253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3E6394A-5BFF-49C8-93F7-77D23CCA6DD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DCA7E812-DE61-4349-8919-5057C2F16FE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8336E815-E556-440D-91CE-207CB0772B9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34BF3F3F-ED10-4A09-8EAD-94DD6A84F50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18BCC5F9-398D-4C3C-91D5-E8D0B26CF0D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E35FB59C-BD97-4C4A-A668-27825E5D8D4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A087B24-80F3-4D12-B5A7-0E8645A67FD5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1C30A83D-81E4-45FF-8E91-6E97F15120A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266A743-F8D0-4B6E-B981-B5856121FF9A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A2935C03-E4DC-4578-9CCD-3AE3D0C8D05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0AA5D5F4-B607-48DC-9F92-9967343C0D5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02CE0938-4B0F-420D-AA38-871F7051B15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A8A961AA-A4C2-4793-9618-0FF0A3083C3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28FBA19D-3963-4325-816F-AE960F80B42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AAA4D8F2-E873-4992-AB0B-0109BC245703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2B4E18FE-6CD9-44A3-B1F6-94C3F6C6466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39BC654A-2C46-427D-8CAF-E1193546AED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ABD4FA3E-2759-41A8-B8EF-733EE74BF16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47998D58-E29C-4CA6-969E-961104119C1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DCFAE281-A125-4EA7-9526-48829D2767C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92B95EEF-0771-4EA4-AF90-1AAEBF68883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AF8A5847-6829-4CBE-A7A0-0C039B995EE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DC57943C-C747-49A0-967D-A829BDBD340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62B56509-46C3-4F2B-8BF5-3B48690A120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DB4F372E-6DD5-4566-8C53-E8BEBE4C83E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82566A9-9233-45A0-A16E-AF2C5CC4F89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9C704AA6-D068-4CE6-B046-C8494409184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C6D09869-6540-49E6-943B-510837E6655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02BD132B-6BA0-4871-A6F5-CF297DAB809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B28B228-9855-4026-A7B8-3D542179FA9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E321C21-3413-4820-B32B-260DE8804C6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C65ABD2-2825-4B7E-AFE6-9CD65C947B3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7108B49-29D0-414E-BFFA-14F528EFE939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B418DE5E-05FB-427A-8FDD-9CCBD92885D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<sst xmlns="http://schemas.openxmlformats.org/spreadsheetml/2006/main" count="1102" uniqueCount="271">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</sst>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31597</v>
      </c>
    </row>
    <row r="8" spans="1:3" ht="15" customHeight="1" x14ac:dyDescent="0.25">
      <c r="B8" s="7" t="s">
        <v>106</v>
      </c>
      <c r="C8" s="70">
        <v>0.66200000000000003</v>
      </c>
    </row>
    <row r="9" spans="1:3" ht="15" customHeight="1" x14ac:dyDescent="0.25">
      <c r="B9" s="9" t="s">
        <v>107</v>
      </c>
      <c r="C9" s="71">
        <v>0.3</v>
      </c>
    </row>
    <row r="10" spans="1:3" ht="15" customHeight="1" x14ac:dyDescent="0.25">
      <c r="B10" s="9" t="s">
        <v>105</v>
      </c>
      <c r="C10" s="71">
        <v>0.68290496826171898</v>
      </c>
    </row>
    <row r="11" spans="1:3" ht="15" customHeight="1" x14ac:dyDescent="0.25">
      <c r="B11" s="7" t="s">
        <v>108</v>
      </c>
      <c r="C11" s="70">
        <v>0.83599999999999997</v>
      </c>
    </row>
    <row r="12" spans="1:3" ht="15" customHeight="1" x14ac:dyDescent="0.25">
      <c r="B12" s="7" t="s">
        <v>109</v>
      </c>
      <c r="C12" s="70">
        <v>0.68900000000000006</v>
      </c>
    </row>
    <row r="13" spans="1:3" ht="15" customHeight="1" x14ac:dyDescent="0.25">
      <c r="B13" s="7" t="s">
        <v>110</v>
      </c>
      <c r="C13" s="70">
        <v>0.49700000000000005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0.11550000000000001</v>
      </c>
    </row>
    <row r="24" spans="1:3" ht="15" customHeight="1" x14ac:dyDescent="0.25">
      <c r="B24" s="20" t="s">
        <v>102</v>
      </c>
      <c r="C24" s="71">
        <v>0.47460000000000002</v>
      </c>
    </row>
    <row r="25" spans="1:3" ht="15" customHeight="1" x14ac:dyDescent="0.25">
      <c r="B25" s="20" t="s">
        <v>103</v>
      </c>
      <c r="C25" s="71">
        <v>0.32340000000000002</v>
      </c>
    </row>
    <row r="26" spans="1:3" ht="15" customHeight="1" x14ac:dyDescent="0.25">
      <c r="B26" s="20" t="s">
        <v>104</v>
      </c>
      <c r="C26" s="71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0.21600000000000003</v>
      </c>
    </row>
    <row r="30" spans="1:3" ht="14.25" customHeight="1" x14ac:dyDescent="0.25">
      <c r="B30" s="30" t="s">
        <v>76</v>
      </c>
      <c r="C30" s="73">
        <v>2.6000000000000002E-2</v>
      </c>
    </row>
    <row r="31" spans="1:3" ht="14.25" customHeight="1" x14ac:dyDescent="0.25">
      <c r="B31" s="30" t="s">
        <v>77</v>
      </c>
      <c r="C31" s="73">
        <v>7.2000000000000008E-2</v>
      </c>
    </row>
    <row r="32" spans="1:3" ht="14.25" customHeight="1" x14ac:dyDescent="0.25">
      <c r="B32" s="30" t="s">
        <v>78</v>
      </c>
      <c r="C32" s="73">
        <v>0.68599999999999994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14.4</v>
      </c>
    </row>
    <row r="38" spans="1:5" ht="15" customHeight="1" x14ac:dyDescent="0.25">
      <c r="B38" s="16" t="s">
        <v>91</v>
      </c>
      <c r="C38" s="75">
        <v>25.2</v>
      </c>
      <c r="D38" s="17"/>
      <c r="E38" s="18"/>
    </row>
    <row r="39" spans="1:5" ht="15" customHeight="1" x14ac:dyDescent="0.25">
      <c r="B39" s="16" t="s">
        <v>90</v>
      </c>
      <c r="C39" s="75">
        <v>32.4</v>
      </c>
      <c r="D39" s="17"/>
      <c r="E39" s="17"/>
    </row>
    <row r="40" spans="1:5" ht="15" customHeight="1" x14ac:dyDescent="0.25">
      <c r="B40" s="16" t="s">
        <v>171</v>
      </c>
      <c r="C40" s="75">
        <v>1.56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1.54E-2</v>
      </c>
      <c r="D45" s="17"/>
    </row>
    <row r="46" spans="1:5" ht="15.75" customHeight="1" x14ac:dyDescent="0.25">
      <c r="B46" s="16" t="s">
        <v>11</v>
      </c>
      <c r="C46" s="71">
        <v>8.9099999999999999E-2</v>
      </c>
      <c r="D46" s="17"/>
    </row>
    <row r="47" spans="1:5" ht="15.75" customHeight="1" x14ac:dyDescent="0.25">
      <c r="B47" s="16" t="s">
        <v>12</v>
      </c>
      <c r="C47" s="71">
        <v>0.1399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2.7353866904825002</v>
      </c>
      <c r="D51" s="17"/>
    </row>
    <row r="52" spans="1:4" ht="15" customHeight="1" x14ac:dyDescent="0.25">
      <c r="B52" s="16" t="s">
        <v>125</v>
      </c>
      <c r="C52" s="76">
        <v>2.6920952467200001</v>
      </c>
    </row>
    <row r="53" spans="1:4" ht="15.75" customHeight="1" x14ac:dyDescent="0.25">
      <c r="B53" s="16" t="s">
        <v>126</v>
      </c>
      <c r="C53" s="76">
        <v>2.6920952467200001</v>
      </c>
    </row>
    <row r="54" spans="1:4" ht="15.75" customHeight="1" x14ac:dyDescent="0.25">
      <c r="B54" s="16" t="s">
        <v>127</v>
      </c>
      <c r="C54" s="76">
        <v>2.22544837423</v>
      </c>
    </row>
    <row r="55" spans="1:4" ht="15.75" customHeight="1" x14ac:dyDescent="0.25">
      <c r="B55" s="16" t="s">
        <v>128</v>
      </c>
      <c r="C55" s="76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0.47311496432385225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42.533893708163482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44.807550932125316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171.46801836850591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0.88653988856092558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1.2513893582737612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1.2513893582737612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1.2513893582737612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1.2513893582737612</v>
      </c>
      <c r="E13" s="86" t="s">
        <v>202</v>
      </c>
    </row>
    <row r="14" spans="1:5" ht="15.75" customHeight="1" x14ac:dyDescent="0.25">
      <c r="A14" s="11" t="s">
        <v>187</v>
      </c>
      <c r="B14" s="85">
        <v>0.53500000000000003</v>
      </c>
      <c r="C14" s="85">
        <v>0.95</v>
      </c>
      <c r="D14" s="86">
        <v>14.332612801245677</v>
      </c>
      <c r="E14" s="86" t="s">
        <v>202</v>
      </c>
    </row>
    <row r="15" spans="1:5" ht="15.75" customHeight="1" x14ac:dyDescent="0.25">
      <c r="A15" s="11" t="s">
        <v>209</v>
      </c>
      <c r="B15" s="85">
        <v>0.53500000000000003</v>
      </c>
      <c r="C15" s="85">
        <v>0.95</v>
      </c>
      <c r="D15" s="86">
        <v>14.332612801245677</v>
      </c>
      <c r="E15" s="86" t="s">
        <v>202</v>
      </c>
    </row>
    <row r="16" spans="1:5" ht="15.75" customHeight="1" x14ac:dyDescent="0.25">
      <c r="A16" s="52" t="s">
        <v>57</v>
      </c>
      <c r="B16" s="85">
        <v>0.56899999999999995</v>
      </c>
      <c r="C16" s="85">
        <v>0.95</v>
      </c>
      <c r="D16" s="86">
        <v>0.38901621782286311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0.47399999999999998</v>
      </c>
      <c r="C18" s="85">
        <v>0.95</v>
      </c>
      <c r="D18" s="87">
        <v>4.0260706086583395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4.0260706086583395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4.0260706086583395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8.8560391003737333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24.509852846612429</v>
      </c>
      <c r="E22" s="86" t="s">
        <v>202</v>
      </c>
    </row>
    <row r="23" spans="1:5" ht="15.75" customHeight="1" x14ac:dyDescent="0.25">
      <c r="A23" s="52" t="s">
        <v>34</v>
      </c>
      <c r="B23" s="85">
        <v>0.96700000000000008</v>
      </c>
      <c r="C23" s="85">
        <v>0.95</v>
      </c>
      <c r="D23" s="86">
        <v>4.7482493984987979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20.698417778852551</v>
      </c>
      <c r="E24" s="86" t="s">
        <v>202</v>
      </c>
    </row>
    <row r="25" spans="1:5" ht="15.75" customHeight="1" x14ac:dyDescent="0.25">
      <c r="A25" s="52" t="s">
        <v>87</v>
      </c>
      <c r="B25" s="85">
        <v>0.623</v>
      </c>
      <c r="C25" s="85">
        <v>0.95</v>
      </c>
      <c r="D25" s="86">
        <v>20.622427159550973</v>
      </c>
      <c r="E25" s="86" t="s">
        <v>202</v>
      </c>
    </row>
    <row r="26" spans="1:5" ht="15.75" customHeight="1" x14ac:dyDescent="0.25">
      <c r="A26" s="52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4.9541071987995853</v>
      </c>
      <c r="E27" s="86" t="s">
        <v>202</v>
      </c>
    </row>
    <row r="28" spans="1:5" ht="15.75" customHeight="1" x14ac:dyDescent="0.25">
      <c r="A28" s="52" t="s">
        <v>84</v>
      </c>
      <c r="B28" s="85">
        <v>0.49</v>
      </c>
      <c r="C28" s="85">
        <v>0.95</v>
      </c>
      <c r="D28" s="86">
        <v>1.689113435509229</v>
      </c>
      <c r="E28" s="86" t="s">
        <v>202</v>
      </c>
    </row>
    <row r="29" spans="1:5" ht="15.75" customHeight="1" x14ac:dyDescent="0.25">
      <c r="A29" s="52" t="s">
        <v>58</v>
      </c>
      <c r="B29" s="85">
        <v>0.47399999999999998</v>
      </c>
      <c r="C29" s="85">
        <v>0.95</v>
      </c>
      <c r="D29" s="86">
        <v>78.281838017014053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0.5324638758293635</v>
      </c>
      <c r="E30" s="86" t="s">
        <v>202</v>
      </c>
    </row>
    <row r="31" spans="1:5" ht="15.75" customHeight="1" x14ac:dyDescent="0.25">
      <c r="A31" s="52" t="s">
        <v>28</v>
      </c>
      <c r="B31" s="85">
        <v>0.53549999999999998</v>
      </c>
      <c r="C31" s="85">
        <v>0.95</v>
      </c>
      <c r="D31" s="86">
        <v>0.79117266352621562</v>
      </c>
      <c r="E31" s="86" t="s">
        <v>202</v>
      </c>
    </row>
    <row r="32" spans="1:5" ht="15.75" customHeight="1" x14ac:dyDescent="0.25">
      <c r="A32" s="52" t="s">
        <v>83</v>
      </c>
      <c r="B32" s="85">
        <v>0.40600000000000003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0.28899999999999998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0.34700000000000003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0.97099999999999997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0.33100000000000002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4.645638405644835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0.81510928415963402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8.5577645399999999E-2</v>
      </c>
      <c r="C3" s="26">
        <f>frac_mam_1_5months * 2.6</f>
        <v>8.5577645399999999E-2</v>
      </c>
      <c r="D3" s="26">
        <f>frac_mam_6_11months * 2.6</f>
        <v>0.27823357796000003</v>
      </c>
      <c r="E3" s="26">
        <f>frac_mam_12_23months * 2.6</f>
        <v>9.8479960800000002E-2</v>
      </c>
      <c r="F3" s="26">
        <f>frac_mam_24_59months * 2.6</f>
        <v>5.1043513906666664E-2</v>
      </c>
    </row>
    <row r="4" spans="1:6" ht="15.75" customHeight="1" x14ac:dyDescent="0.25">
      <c r="A4" s="3" t="s">
        <v>66</v>
      </c>
      <c r="B4" s="26">
        <f>frac_sam_1month * 2.6</f>
        <v>5.8767735000000001E-2</v>
      </c>
      <c r="C4" s="26">
        <f>frac_sam_1_5months * 2.6</f>
        <v>5.8767735000000001E-2</v>
      </c>
      <c r="D4" s="26">
        <f>frac_sam_6_11months * 2.6</f>
        <v>1.5391780040000001E-2</v>
      </c>
      <c r="E4" s="26">
        <f>frac_sam_12_23months * 2.6</f>
        <v>3.2873887800000001E-2</v>
      </c>
      <c r="F4" s="26">
        <f>frac_sam_24_59months * 2.6</f>
        <v>1.1077156826666665E-2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6816.5530469999994</v>
      </c>
      <c r="C2" s="78">
        <v>11097</v>
      </c>
      <c r="D2" s="78">
        <v>16944</v>
      </c>
      <c r="E2" s="78">
        <v>1019159</v>
      </c>
      <c r="F2" s="78">
        <v>669974</v>
      </c>
      <c r="G2" s="22">
        <f t="shared" ref="G2:G40" si="0">C2+D2+E2+F2</f>
        <v>1717174</v>
      </c>
      <c r="H2" s="22">
        <f t="shared" ref="H2:H40" si="1">(B2 + stillbirth*B2/(1000-stillbirth))/(1-abortion)</f>
        <v>7964.9470822685626</v>
      </c>
      <c r="I2" s="22">
        <f>G2-H2</f>
        <v>1709209.0529177315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6886.2016666666659</v>
      </c>
      <c r="C3" s="78">
        <v>12000</v>
      </c>
      <c r="D3" s="78">
        <v>17100</v>
      </c>
      <c r="E3" s="78">
        <v>1051000</v>
      </c>
      <c r="F3" s="78">
        <v>698000</v>
      </c>
      <c r="G3" s="22">
        <f t="shared" si="0"/>
        <v>1778100</v>
      </c>
      <c r="H3" s="22">
        <f t="shared" si="1"/>
        <v>8046.3295003577459</v>
      </c>
      <c r="I3" s="22">
        <f t="shared" ref="I3:I15" si="3">G3-H3</f>
        <v>1770053.6704996421</v>
      </c>
    </row>
    <row r="4" spans="1:9" ht="15.75" customHeight="1" x14ac:dyDescent="0.25">
      <c r="A4" s="7">
        <f t="shared" si="2"/>
        <v>2019</v>
      </c>
      <c r="B4" s="77">
        <v>6930.0969999999988</v>
      </c>
      <c r="C4" s="78">
        <v>12000</v>
      </c>
      <c r="D4" s="78">
        <v>17300</v>
      </c>
      <c r="E4" s="78">
        <v>1083000</v>
      </c>
      <c r="F4" s="78">
        <v>727000</v>
      </c>
      <c r="G4" s="22">
        <f t="shared" si="0"/>
        <v>1839300</v>
      </c>
      <c r="H4" s="22">
        <f t="shared" si="1"/>
        <v>8097.6199406650221</v>
      </c>
      <c r="I4" s="22">
        <f t="shared" si="3"/>
        <v>1831202.3800593349</v>
      </c>
    </row>
    <row r="5" spans="1:9" ht="15.75" customHeight="1" x14ac:dyDescent="0.25">
      <c r="A5" s="7">
        <f t="shared" si="2"/>
        <v>2020</v>
      </c>
      <c r="B5" s="77">
        <v>7002.8139999999994</v>
      </c>
      <c r="C5" s="78">
        <v>12000</v>
      </c>
      <c r="D5" s="78">
        <v>17800</v>
      </c>
      <c r="E5" s="78">
        <v>1112000</v>
      </c>
      <c r="F5" s="78">
        <v>757000</v>
      </c>
      <c r="G5" s="22">
        <f t="shared" si="0"/>
        <v>1898800</v>
      </c>
      <c r="H5" s="22">
        <f t="shared" si="1"/>
        <v>8182.587673328122</v>
      </c>
      <c r="I5" s="22">
        <f t="shared" si="3"/>
        <v>1890617.4123266719</v>
      </c>
    </row>
    <row r="6" spans="1:9" ht="15.75" customHeight="1" x14ac:dyDescent="0.25">
      <c r="A6" s="7">
        <f t="shared" si="2"/>
        <v>2021</v>
      </c>
      <c r="B6" s="77">
        <v>7094.9679999999998</v>
      </c>
      <c r="C6" s="78">
        <v>13000</v>
      </c>
      <c r="D6" s="78">
        <v>18100</v>
      </c>
      <c r="E6" s="78">
        <v>1143000</v>
      </c>
      <c r="F6" s="78">
        <v>788000</v>
      </c>
      <c r="G6" s="22">
        <f t="shared" si="0"/>
        <v>1962100</v>
      </c>
      <c r="H6" s="22">
        <f t="shared" si="1"/>
        <v>8290.2669840234903</v>
      </c>
      <c r="I6" s="22">
        <f t="shared" si="3"/>
        <v>1953809.7330159766</v>
      </c>
    </row>
    <row r="7" spans="1:9" ht="15.75" customHeight="1" x14ac:dyDescent="0.25">
      <c r="A7" s="7">
        <f t="shared" si="2"/>
        <v>2022</v>
      </c>
      <c r="B7" s="77">
        <v>7152.5429999999997</v>
      </c>
      <c r="C7" s="78">
        <v>13000</v>
      </c>
      <c r="D7" s="78">
        <v>19300</v>
      </c>
      <c r="E7" s="78">
        <v>1171000</v>
      </c>
      <c r="F7" s="78">
        <v>820000</v>
      </c>
      <c r="G7" s="22">
        <f t="shared" si="0"/>
        <v>2023300</v>
      </c>
      <c r="H7" s="22">
        <f t="shared" si="1"/>
        <v>8357.5417231914689</v>
      </c>
      <c r="I7" s="22">
        <f t="shared" si="3"/>
        <v>2014942.4582768085</v>
      </c>
    </row>
    <row r="8" spans="1:9" ht="15.75" customHeight="1" x14ac:dyDescent="0.25">
      <c r="A8" s="7">
        <f t="shared" si="2"/>
        <v>2023</v>
      </c>
      <c r="B8" s="77">
        <v>7238.8639999999996</v>
      </c>
      <c r="C8" s="78">
        <v>13000</v>
      </c>
      <c r="D8" s="78">
        <v>19600</v>
      </c>
      <c r="E8" s="78">
        <v>1200000</v>
      </c>
      <c r="F8" s="78">
        <v>853000</v>
      </c>
      <c r="G8" s="22">
        <f t="shared" si="0"/>
        <v>2085600</v>
      </c>
      <c r="H8" s="22">
        <f t="shared" si="1"/>
        <v>8458.4053403815524</v>
      </c>
      <c r="I8" s="22">
        <f t="shared" si="3"/>
        <v>2077141.5946596183</v>
      </c>
    </row>
    <row r="9" spans="1:9" ht="15.75" customHeight="1" x14ac:dyDescent="0.25">
      <c r="A9" s="7">
        <f t="shared" si="2"/>
        <v>2024</v>
      </c>
      <c r="B9" s="77">
        <v>7322.1150000000007</v>
      </c>
      <c r="C9" s="78">
        <v>13000</v>
      </c>
      <c r="D9" s="78">
        <v>19900</v>
      </c>
      <c r="E9" s="78">
        <v>1227000</v>
      </c>
      <c r="F9" s="78">
        <v>886000</v>
      </c>
      <c r="G9" s="22">
        <f t="shared" si="0"/>
        <v>2145900</v>
      </c>
      <c r="H9" s="22">
        <f t="shared" si="1"/>
        <v>8555.6817504635928</v>
      </c>
      <c r="I9" s="22">
        <f t="shared" si="3"/>
        <v>2137344.3182495362</v>
      </c>
    </row>
    <row r="10" spans="1:9" ht="15.75" customHeight="1" x14ac:dyDescent="0.25">
      <c r="A10" s="7">
        <f t="shared" si="2"/>
        <v>2025</v>
      </c>
      <c r="B10" s="77">
        <v>7402.2960000000003</v>
      </c>
      <c r="C10" s="78">
        <v>14000</v>
      </c>
      <c r="D10" s="78">
        <v>21200</v>
      </c>
      <c r="E10" s="78">
        <v>1256000</v>
      </c>
      <c r="F10" s="78">
        <v>918000</v>
      </c>
      <c r="G10" s="22">
        <f t="shared" si="0"/>
        <v>2209200</v>
      </c>
      <c r="H10" s="22">
        <f t="shared" si="1"/>
        <v>8649.3709534375848</v>
      </c>
      <c r="I10" s="22">
        <f t="shared" si="3"/>
        <v>2200550.6290465626</v>
      </c>
    </row>
    <row r="11" spans="1:9" ht="15.75" customHeight="1" x14ac:dyDescent="0.25">
      <c r="A11" s="7">
        <f t="shared" si="2"/>
        <v>2026</v>
      </c>
      <c r="B11" s="77">
        <v>7485.6314000000002</v>
      </c>
      <c r="C11" s="78">
        <v>14000</v>
      </c>
      <c r="D11" s="78">
        <v>21600</v>
      </c>
      <c r="E11" s="78">
        <v>1284000</v>
      </c>
      <c r="F11" s="78">
        <v>951000</v>
      </c>
      <c r="G11" s="22">
        <f t="shared" si="0"/>
        <v>2270600</v>
      </c>
      <c r="H11" s="22">
        <f t="shared" si="1"/>
        <v>8746.7459825033093</v>
      </c>
      <c r="I11" s="22">
        <f t="shared" si="3"/>
        <v>2261853.2540174965</v>
      </c>
    </row>
    <row r="12" spans="1:9" ht="15.75" customHeight="1" x14ac:dyDescent="0.25">
      <c r="A12" s="7">
        <f t="shared" si="2"/>
        <v>2027</v>
      </c>
      <c r="B12" s="77">
        <v>7596.1732000000002</v>
      </c>
      <c r="C12" s="78">
        <v>14000</v>
      </c>
      <c r="D12" s="78">
        <v>22000</v>
      </c>
      <c r="E12" s="78">
        <v>1313000</v>
      </c>
      <c r="F12" s="78">
        <v>983000</v>
      </c>
      <c r="G12" s="22">
        <f t="shared" si="0"/>
        <v>2332000</v>
      </c>
      <c r="H12" s="22">
        <f t="shared" si="1"/>
        <v>8875.9109110688132</v>
      </c>
      <c r="I12" s="22">
        <f t="shared" si="3"/>
        <v>2323124.0890889312</v>
      </c>
    </row>
    <row r="13" spans="1:9" ht="15.75" customHeight="1" x14ac:dyDescent="0.25">
      <c r="A13" s="7">
        <f t="shared" si="2"/>
        <v>2028</v>
      </c>
      <c r="B13" s="77">
        <v>7673.5907999999999</v>
      </c>
      <c r="C13" s="78">
        <v>14000</v>
      </c>
      <c r="D13" s="78">
        <v>23000</v>
      </c>
      <c r="E13" s="78">
        <v>1343000</v>
      </c>
      <c r="F13" s="78">
        <v>1015000</v>
      </c>
      <c r="G13" s="22">
        <f t="shared" si="0"/>
        <v>2395000</v>
      </c>
      <c r="H13" s="22">
        <f t="shared" si="1"/>
        <v>8966.3711602570165</v>
      </c>
      <c r="I13" s="22">
        <f t="shared" si="3"/>
        <v>2386033.6288397429</v>
      </c>
    </row>
    <row r="14" spans="1:9" ht="15.75" customHeight="1" x14ac:dyDescent="0.25">
      <c r="A14" s="7">
        <f t="shared" si="2"/>
        <v>2029</v>
      </c>
      <c r="B14" s="77">
        <v>7748.1903999999995</v>
      </c>
      <c r="C14" s="78">
        <v>14000</v>
      </c>
      <c r="D14" s="78">
        <v>24000</v>
      </c>
      <c r="E14" s="78">
        <v>1375000</v>
      </c>
      <c r="F14" s="78">
        <v>1046000</v>
      </c>
      <c r="G14" s="22">
        <f t="shared" si="0"/>
        <v>2459000</v>
      </c>
      <c r="H14" s="22">
        <f t="shared" si="1"/>
        <v>9053.5386571225918</v>
      </c>
      <c r="I14" s="22">
        <f t="shared" si="3"/>
        <v>2449946.4613428772</v>
      </c>
    </row>
    <row r="15" spans="1:9" ht="15.75" customHeight="1" x14ac:dyDescent="0.25">
      <c r="A15" s="7">
        <f t="shared" si="2"/>
        <v>2030</v>
      </c>
      <c r="B15" s="77">
        <v>7819.9719999999998</v>
      </c>
      <c r="C15" s="78">
        <v>15000</v>
      </c>
      <c r="D15" s="78">
        <v>24000</v>
      </c>
      <c r="E15" s="78">
        <v>1406000</v>
      </c>
      <c r="F15" s="78">
        <v>1077000</v>
      </c>
      <c r="G15" s="22">
        <f t="shared" si="0"/>
        <v>2522000</v>
      </c>
      <c r="H15" s="22">
        <f t="shared" si="1"/>
        <v>9137.4134016655389</v>
      </c>
      <c r="I15" s="22">
        <f t="shared" si="3"/>
        <v>2512862.5865983344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128.53185077685819</v>
      </c>
      <c r="I17" s="22">
        <f t="shared" si="4"/>
        <v>-128.53185077685819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2.2768044000000001E-2</v>
      </c>
    </row>
    <row r="4" spans="1:8" ht="15.75" customHeight="1" x14ac:dyDescent="0.25">
      <c r="B4" s="24" t="s">
        <v>7</v>
      </c>
      <c r="C4" s="79">
        <v>0.26062600565068711</v>
      </c>
    </row>
    <row r="5" spans="1:8" ht="15.75" customHeight="1" x14ac:dyDescent="0.25">
      <c r="B5" s="24" t="s">
        <v>8</v>
      </c>
      <c r="C5" s="79">
        <v>0.11356435898079638</v>
      </c>
    </row>
    <row r="6" spans="1:8" ht="15.75" customHeight="1" x14ac:dyDescent="0.25">
      <c r="B6" s="24" t="s">
        <v>10</v>
      </c>
      <c r="C6" s="79">
        <v>0.14300534949661031</v>
      </c>
    </row>
    <row r="7" spans="1:8" ht="15.75" customHeight="1" x14ac:dyDescent="0.25">
      <c r="B7" s="24" t="s">
        <v>13</v>
      </c>
      <c r="C7" s="79">
        <v>0.15356794919526201</v>
      </c>
    </row>
    <row r="8" spans="1:8" ht="15.75" customHeight="1" x14ac:dyDescent="0.25">
      <c r="B8" s="24" t="s">
        <v>14</v>
      </c>
      <c r="C8" s="79">
        <v>1.060774443247773E-2</v>
      </c>
    </row>
    <row r="9" spans="1:8" ht="15.75" customHeight="1" x14ac:dyDescent="0.25">
      <c r="B9" s="24" t="s">
        <v>27</v>
      </c>
      <c r="C9" s="79">
        <v>0.12356883440320587</v>
      </c>
    </row>
    <row r="10" spans="1:8" ht="15.75" customHeight="1" x14ac:dyDescent="0.25">
      <c r="B10" s="24" t="s">
        <v>15</v>
      </c>
      <c r="C10" s="79">
        <v>0.17229171384096065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9.4902690013791396E-2</v>
      </c>
      <c r="D14" s="79">
        <v>9.4902690013791396E-2</v>
      </c>
      <c r="E14" s="79">
        <v>6.5883746598516896E-2</v>
      </c>
      <c r="F14" s="79">
        <v>6.5883746598516896E-2</v>
      </c>
    </row>
    <row r="15" spans="1:8" ht="15.75" customHeight="1" x14ac:dyDescent="0.25">
      <c r="B15" s="24" t="s">
        <v>16</v>
      </c>
      <c r="C15" s="79">
        <v>0.20822006547444299</v>
      </c>
      <c r="D15" s="79">
        <v>0.20822006547444299</v>
      </c>
      <c r="E15" s="79">
        <v>9.2566396696568895E-2</v>
      </c>
      <c r="F15" s="79">
        <v>9.2566396696568895E-2</v>
      </c>
    </row>
    <row r="16" spans="1:8" ht="15.75" customHeight="1" x14ac:dyDescent="0.25">
      <c r="B16" s="24" t="s">
        <v>17</v>
      </c>
      <c r="C16" s="79">
        <v>2.10313459523741E-2</v>
      </c>
      <c r="D16" s="79">
        <v>2.10313459523741E-2</v>
      </c>
      <c r="E16" s="79">
        <v>9.7234716652015198E-3</v>
      </c>
      <c r="F16" s="79">
        <v>9.7234716652015198E-3</v>
      </c>
    </row>
    <row r="17" spans="1:8" ht="15.75" customHeight="1" x14ac:dyDescent="0.25">
      <c r="B17" s="24" t="s">
        <v>18</v>
      </c>
      <c r="C17" s="79">
        <v>3.12134360258896E-3</v>
      </c>
      <c r="D17" s="79">
        <v>3.12134360258896E-3</v>
      </c>
      <c r="E17" s="79">
        <v>1.32355557887021E-2</v>
      </c>
      <c r="F17" s="79">
        <v>1.32355557887021E-2</v>
      </c>
    </row>
    <row r="18" spans="1:8" ht="15.75" customHeight="1" x14ac:dyDescent="0.25">
      <c r="B18" s="24" t="s">
        <v>19</v>
      </c>
      <c r="C18" s="79">
        <v>4.7150602873800599E-3</v>
      </c>
      <c r="D18" s="79">
        <v>4.7150602873800599E-3</v>
      </c>
      <c r="E18" s="79">
        <v>2.70467570402735E-3</v>
      </c>
      <c r="F18" s="79">
        <v>2.70467570402735E-3</v>
      </c>
    </row>
    <row r="19" spans="1:8" ht="15.75" customHeight="1" x14ac:dyDescent="0.25">
      <c r="B19" s="24" t="s">
        <v>20</v>
      </c>
      <c r="C19" s="79">
        <v>3.2142558752274501E-2</v>
      </c>
      <c r="D19" s="79">
        <v>3.2142558752274501E-2</v>
      </c>
      <c r="E19" s="79">
        <v>5.60726435960874E-2</v>
      </c>
      <c r="F19" s="79">
        <v>5.60726435960874E-2</v>
      </c>
    </row>
    <row r="20" spans="1:8" ht="15.75" customHeight="1" x14ac:dyDescent="0.25">
      <c r="B20" s="24" t="s">
        <v>21</v>
      </c>
      <c r="C20" s="79">
        <v>3.3008610448174499E-5</v>
      </c>
      <c r="D20" s="79">
        <v>3.3008610448174499E-5</v>
      </c>
      <c r="E20" s="79">
        <v>2.5262673817956298E-4</v>
      </c>
      <c r="F20" s="79">
        <v>2.5262673817956298E-4</v>
      </c>
    </row>
    <row r="21" spans="1:8" ht="15.75" customHeight="1" x14ac:dyDescent="0.25">
      <c r="B21" s="24" t="s">
        <v>22</v>
      </c>
      <c r="C21" s="79">
        <v>6.6348140129213903E-2</v>
      </c>
      <c r="D21" s="79">
        <v>6.6348140129213903E-2</v>
      </c>
      <c r="E21" s="79">
        <v>0.12397713881736599</v>
      </c>
      <c r="F21" s="79">
        <v>0.12397713881736599</v>
      </c>
    </row>
    <row r="22" spans="1:8" ht="15.75" customHeight="1" x14ac:dyDescent="0.25">
      <c r="B22" s="24" t="s">
        <v>23</v>
      </c>
      <c r="C22" s="79">
        <v>0.56948578717748588</v>
      </c>
      <c r="D22" s="79">
        <v>0.56948578717748588</v>
      </c>
      <c r="E22" s="79">
        <v>0.63558374439535026</v>
      </c>
      <c r="F22" s="79">
        <v>0.63558374439535026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8.8399999999999992E-2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0.155</v>
      </c>
    </row>
    <row r="29" spans="1:8" ht="15.75" customHeight="1" x14ac:dyDescent="0.25">
      <c r="B29" s="24" t="s">
        <v>41</v>
      </c>
      <c r="C29" s="79">
        <v>0.16980000000000001</v>
      </c>
    </row>
    <row r="30" spans="1:8" ht="15.75" customHeight="1" x14ac:dyDescent="0.25">
      <c r="B30" s="24" t="s">
        <v>42</v>
      </c>
      <c r="C30" s="79">
        <v>0.1057</v>
      </c>
    </row>
    <row r="31" spans="1:8" ht="15.75" customHeight="1" x14ac:dyDescent="0.25">
      <c r="B31" s="24" t="s">
        <v>43</v>
      </c>
      <c r="C31" s="79">
        <v>0.1114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8.3499999999999991E-2</v>
      </c>
    </row>
    <row r="34" spans="2:3" ht="15.75" customHeight="1" x14ac:dyDescent="0.25">
      <c r="B34" s="24" t="s">
        <v>46</v>
      </c>
      <c r="C34" s="79">
        <v>0.25919999999776483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0.62262364516959745</v>
      </c>
      <c r="D2" s="80">
        <v>0.62262364516959745</v>
      </c>
      <c r="E2" s="80">
        <v>0.51203485934679116</v>
      </c>
      <c r="F2" s="80">
        <v>0.44614492538834333</v>
      </c>
      <c r="G2" s="80">
        <v>0.43388912744036151</v>
      </c>
    </row>
    <row r="3" spans="1:15" ht="15.75" customHeight="1" x14ac:dyDescent="0.25">
      <c r="A3" s="5"/>
      <c r="B3" s="11" t="s">
        <v>118</v>
      </c>
      <c r="C3" s="80">
        <v>0.11460380281967866</v>
      </c>
      <c r="D3" s="80">
        <v>0.11460380281967866</v>
      </c>
      <c r="E3" s="80">
        <v>0.22519258864248506</v>
      </c>
      <c r="F3" s="80">
        <v>0.27033732112640207</v>
      </c>
      <c r="G3" s="80">
        <v>0.28259311907438378</v>
      </c>
    </row>
    <row r="4" spans="1:15" ht="15.75" customHeight="1" x14ac:dyDescent="0.25">
      <c r="A4" s="5"/>
      <c r="B4" s="11" t="s">
        <v>116</v>
      </c>
      <c r="C4" s="81">
        <v>9.3353406635388742E-2</v>
      </c>
      <c r="D4" s="81">
        <v>9.3353406635388742E-2</v>
      </c>
      <c r="E4" s="81">
        <v>9.3353406635388742E-2</v>
      </c>
      <c r="F4" s="81">
        <v>0.11409860810991954</v>
      </c>
      <c r="G4" s="81">
        <v>0.11409860810991954</v>
      </c>
    </row>
    <row r="5" spans="1:15" ht="15.75" customHeight="1" x14ac:dyDescent="0.25">
      <c r="A5" s="5"/>
      <c r="B5" s="11" t="s">
        <v>119</v>
      </c>
      <c r="C5" s="81">
        <v>0.16941914537533509</v>
      </c>
      <c r="D5" s="81">
        <v>0.16941914537533509</v>
      </c>
      <c r="E5" s="81">
        <v>0.16941914537533509</v>
      </c>
      <c r="F5" s="81">
        <v>0.16941914537533509</v>
      </c>
      <c r="G5" s="81">
        <v>0.16941914537533509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0.84902952273404264</v>
      </c>
      <c r="D8" s="80">
        <v>0.84902952273404264</v>
      </c>
      <c r="E8" s="80">
        <v>0.65879254837471779</v>
      </c>
      <c r="F8" s="80">
        <v>0.78922961997046404</v>
      </c>
      <c r="G8" s="80">
        <v>0.85409400504166666</v>
      </c>
    </row>
    <row r="9" spans="1:15" ht="15.75" customHeight="1" x14ac:dyDescent="0.25">
      <c r="B9" s="7" t="s">
        <v>121</v>
      </c>
      <c r="C9" s="80">
        <v>9.5453023265957462E-2</v>
      </c>
      <c r="D9" s="80">
        <v>9.5453023265957462E-2</v>
      </c>
      <c r="E9" s="80">
        <v>0.2282746216252822</v>
      </c>
      <c r="F9" s="80">
        <v>0.16024966902953588</v>
      </c>
      <c r="G9" s="80">
        <v>0.12201342929166666</v>
      </c>
    </row>
    <row r="10" spans="1:15" ht="15.75" customHeight="1" x14ac:dyDescent="0.25">
      <c r="B10" s="7" t="s">
        <v>122</v>
      </c>
      <c r="C10" s="81">
        <v>3.2914478999999996E-2</v>
      </c>
      <c r="D10" s="81">
        <v>3.2914478999999996E-2</v>
      </c>
      <c r="E10" s="81">
        <v>0.10701291460000001</v>
      </c>
      <c r="F10" s="81">
        <v>3.7876908000000001E-2</v>
      </c>
      <c r="G10" s="81">
        <v>1.9632120733333331E-2</v>
      </c>
    </row>
    <row r="11" spans="1:15" ht="15.75" customHeight="1" x14ac:dyDescent="0.25">
      <c r="B11" s="7" t="s">
        <v>123</v>
      </c>
      <c r="C11" s="81">
        <v>2.2602975000000001E-2</v>
      </c>
      <c r="D11" s="81">
        <v>2.2602975000000001E-2</v>
      </c>
      <c r="E11" s="81">
        <v>5.9199153999999997E-3</v>
      </c>
      <c r="F11" s="81">
        <v>1.2643803E-2</v>
      </c>
      <c r="G11" s="81">
        <v>4.2604449333333329E-3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0.73811573149999998</v>
      </c>
      <c r="D14" s="82">
        <v>0.73101439726399997</v>
      </c>
      <c r="E14" s="82">
        <v>0.73101439726399997</v>
      </c>
      <c r="F14" s="82">
        <v>0.46123497697700006</v>
      </c>
      <c r="G14" s="82">
        <v>0.46123497697700006</v>
      </c>
      <c r="H14" s="83">
        <v>0.47600000000000003</v>
      </c>
      <c r="I14" s="83">
        <v>0.66545707656612518</v>
      </c>
      <c r="J14" s="83">
        <v>0.57353596287703001</v>
      </c>
      <c r="K14" s="83">
        <v>0.52433874709976791</v>
      </c>
      <c r="L14" s="83">
        <v>0.40244665967799997</v>
      </c>
      <c r="M14" s="83">
        <v>0.26449978615000003</v>
      </c>
      <c r="N14" s="83">
        <v>0.23725458160799998</v>
      </c>
      <c r="O14" s="83">
        <v>0.31859565538400003</v>
      </c>
    </row>
    <row r="15" spans="1:15" ht="15.75" customHeight="1" x14ac:dyDescent="0.25">
      <c r="B15" s="16" t="s">
        <v>68</v>
      </c>
      <c r="C15" s="80">
        <f>iron_deficiency_anaemia*C14</f>
        <v>0.34921359797549661</v>
      </c>
      <c r="D15" s="80">
        <f t="shared" ref="D15:O15" si="0">iron_deficiency_anaemia*D14</f>
        <v>0.34585385048177969</v>
      </c>
      <c r="E15" s="80">
        <f t="shared" si="0"/>
        <v>0.34585385048177969</v>
      </c>
      <c r="F15" s="80">
        <f t="shared" si="0"/>
        <v>0.21821716967738619</v>
      </c>
      <c r="G15" s="80">
        <f t="shared" si="0"/>
        <v>0.21821716967738619</v>
      </c>
      <c r="H15" s="80">
        <f t="shared" si="0"/>
        <v>0.22520272301815369</v>
      </c>
      <c r="I15" s="80">
        <f t="shared" si="0"/>
        <v>0.31483770103863734</v>
      </c>
      <c r="J15" s="80">
        <f t="shared" si="0"/>
        <v>0.27134844661501228</v>
      </c>
      <c r="K15" s="80">
        <f t="shared" si="0"/>
        <v>0.2480725076277201</v>
      </c>
      <c r="L15" s="80">
        <f t="shared" si="0"/>
        <v>0.19040353703581048</v>
      </c>
      <c r="M15" s="80">
        <f t="shared" si="0"/>
        <v>0.12513880688802381</v>
      </c>
      <c r="N15" s="80">
        <f t="shared" si="0"/>
        <v>0.11224869291313939</v>
      </c>
      <c r="O15" s="80">
        <f t="shared" si="0"/>
        <v>0.15073237213073551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0.52</v>
      </c>
      <c r="D2" s="81">
        <v>0.52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1.8000000000000002E-2</v>
      </c>
      <c r="D3" s="81">
        <v>0.12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0.22699999999999998</v>
      </c>
      <c r="D4" s="81">
        <v>0.22699999999999998</v>
      </c>
      <c r="E4" s="81">
        <v>0.747</v>
      </c>
      <c r="F4" s="81">
        <v>0.87450000000000006</v>
      </c>
      <c r="G4" s="81">
        <v>0</v>
      </c>
    </row>
    <row r="5" spans="1:7" x14ac:dyDescent="0.25">
      <c r="B5" s="43" t="s">
        <v>169</v>
      </c>
      <c r="C5" s="80">
        <f>1-SUM(C2:C4)</f>
        <v>0.23499999999999999</v>
      </c>
      <c r="D5" s="80">
        <f>1-SUM(D2:D4)</f>
        <v>0.13300000000000001</v>
      </c>
      <c r="E5" s="80">
        <f>1-SUM(E2:E4)</f>
        <v>0.253</v>
      </c>
      <c r="F5" s="80">
        <f>1-SUM(F2:F4)</f>
        <v>0.12549999999999994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0.17850000000000002</v>
      </c>
      <c r="D2" s="144">
        <v>0.17065999999999998</v>
      </c>
      <c r="E2" s="144">
        <v>0.16314000000000001</v>
      </c>
      <c r="F2" s="144">
        <v>0.15594</v>
      </c>
      <c r="G2" s="144">
        <v>0.14906</v>
      </c>
      <c r="H2" s="144">
        <v>0.14257</v>
      </c>
      <c r="I2" s="144">
        <v>0.13634000000000002</v>
      </c>
      <c r="J2" s="144">
        <v>0.13037000000000001</v>
      </c>
      <c r="K2" s="144">
        <v>0.12465</v>
      </c>
      <c r="L2" s="144">
        <v>0.11917</v>
      </c>
      <c r="M2" s="144">
        <v>0.11394</v>
      </c>
      <c r="N2" s="144">
        <v>0.10893000000000001</v>
      </c>
      <c r="O2" s="144">
        <v>0.10414</v>
      </c>
      <c r="P2" s="144">
        <v>9.9559999999999996E-2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5.5780000000000003E-2</v>
      </c>
      <c r="D4" s="144">
        <v>5.4080000000000003E-2</v>
      </c>
      <c r="E4" s="144">
        <v>5.2489999999999995E-2</v>
      </c>
      <c r="F4" s="144">
        <v>5.0979999999999998E-2</v>
      </c>
      <c r="G4" s="144">
        <v>4.9569999999999996E-2</v>
      </c>
      <c r="H4" s="144">
        <v>4.7939999999999997E-2</v>
      </c>
      <c r="I4" s="144">
        <v>4.6359999999999998E-2</v>
      </c>
      <c r="J4" s="144">
        <v>4.4850000000000001E-2</v>
      </c>
      <c r="K4" s="144">
        <v>4.3390000000000005E-2</v>
      </c>
      <c r="L4" s="144">
        <v>4.199E-2</v>
      </c>
      <c r="M4" s="144">
        <v>4.0640000000000003E-2</v>
      </c>
      <c r="N4" s="144">
        <v>3.934E-2</v>
      </c>
      <c r="O4" s="144">
        <v>3.8079999999999996E-2</v>
      </c>
      <c r="P4" s="144">
        <v>3.687E-2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0.24380050162982686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0.27053143336869906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0.13809189727137255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0.83199999999999996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29.283999999999999</v>
      </c>
      <c r="D13" s="143">
        <v>28.074999999999999</v>
      </c>
      <c r="E13" s="143">
        <v>26.954000000000001</v>
      </c>
      <c r="F13" s="143">
        <v>25.923999999999999</v>
      </c>
      <c r="G13" s="143">
        <v>24.954000000000001</v>
      </c>
      <c r="H13" s="143">
        <v>24.029</v>
      </c>
      <c r="I13" s="143">
        <v>23.16</v>
      </c>
      <c r="J13" s="143">
        <v>22.346</v>
      </c>
      <c r="K13" s="143">
        <v>21.579000000000001</v>
      </c>
      <c r="L13" s="143">
        <v>20.853000000000002</v>
      </c>
      <c r="M13" s="143">
        <v>20.167999999999999</v>
      </c>
      <c r="N13" s="143">
        <v>19.527000000000001</v>
      </c>
      <c r="O13" s="143">
        <v>18.907</v>
      </c>
      <c r="P13" s="143">
        <v>18.315999999999999</v>
      </c>
    </row>
    <row r="14" spans="1:16" x14ac:dyDescent="0.25">
      <c r="B14" s="16" t="s">
        <v>170</v>
      </c>
      <c r="C14" s="143">
        <f>maternal_mortality</f>
        <v>1.56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0.66200000000000003</v>
      </c>
      <c r="E2" s="92">
        <f>food_insecure</f>
        <v>0.66200000000000003</v>
      </c>
      <c r="F2" s="92">
        <f>food_insecure</f>
        <v>0.66200000000000003</v>
      </c>
      <c r="G2" s="92">
        <f>food_insecure</f>
        <v>0.66200000000000003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0.66200000000000003</v>
      </c>
      <c r="F5" s="92">
        <f>food_insecure</f>
        <v>0.66200000000000003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0.10520718040317309</v>
      </c>
      <c r="D7" s="92">
        <f>diarrhoea_1_5mo/26</f>
        <v>0.10354212487384616</v>
      </c>
      <c r="E7" s="92">
        <f>diarrhoea_6_11mo/26</f>
        <v>0.10354212487384616</v>
      </c>
      <c r="F7" s="92">
        <f>diarrhoea_12_23mo/26</f>
        <v>8.5594168239615381E-2</v>
      </c>
      <c r="G7" s="92">
        <f>diarrhoea_24_59mo/26</f>
        <v>8.5594168239615381E-2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0.66200000000000003</v>
      </c>
      <c r="F8" s="92">
        <f>food_insecure</f>
        <v>0.66200000000000003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0.68900000000000006</v>
      </c>
      <c r="E9" s="92">
        <f>IF(ISBLANK(comm_deliv), frac_children_health_facility,1)</f>
        <v>0.68900000000000006</v>
      </c>
      <c r="F9" s="92">
        <f>IF(ISBLANK(comm_deliv), frac_children_health_facility,1)</f>
        <v>0.68900000000000006</v>
      </c>
      <c r="G9" s="92">
        <f>IF(ISBLANK(comm_deliv), frac_children_health_facility,1)</f>
        <v>0.68900000000000006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0.10520718040317309</v>
      </c>
      <c r="D11" s="92">
        <f>diarrhoea_1_5mo/26</f>
        <v>0.10354212487384616</v>
      </c>
      <c r="E11" s="92">
        <f>diarrhoea_6_11mo/26</f>
        <v>0.10354212487384616</v>
      </c>
      <c r="F11" s="92">
        <f>diarrhoea_12_23mo/26</f>
        <v>8.5594168239615381E-2</v>
      </c>
      <c r="G11" s="92">
        <f>diarrhoea_24_59mo/26</f>
        <v>8.5594168239615381E-2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0.66200000000000003</v>
      </c>
      <c r="I14" s="92">
        <f>food_insecure</f>
        <v>0.66200000000000003</v>
      </c>
      <c r="J14" s="92">
        <f>food_insecure</f>
        <v>0.66200000000000003</v>
      </c>
      <c r="K14" s="92">
        <f>food_insecure</f>
        <v>0.66200000000000003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0.83599999999999997</v>
      </c>
      <c r="I17" s="92">
        <f>frac_PW_health_facility</f>
        <v>0.83599999999999997</v>
      </c>
      <c r="J17" s="92">
        <f>frac_PW_health_facility</f>
        <v>0.83599999999999997</v>
      </c>
      <c r="K17" s="92">
        <f>frac_PW_health_facility</f>
        <v>0.83599999999999997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0.3</v>
      </c>
      <c r="I18" s="92">
        <f>frac_malaria_risk</f>
        <v>0.3</v>
      </c>
      <c r="J18" s="92">
        <f>frac_malaria_risk</f>
        <v>0.3</v>
      </c>
      <c r="K18" s="92">
        <f>frac_malaria_risk</f>
        <v>0.3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0.49700000000000005</v>
      </c>
      <c r="M23" s="92">
        <f>famplan_unmet_need</f>
        <v>0.49700000000000005</v>
      </c>
      <c r="N23" s="92">
        <f>famplan_unmet_need</f>
        <v>0.49700000000000005</v>
      </c>
      <c r="O23" s="92">
        <f>famplan_unmet_need</f>
        <v>0.49700000000000005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0.19945911686401352</v>
      </c>
      <c r="M24" s="92">
        <f>(1-food_insecure)*(0.49)+food_insecure*(0.7)</f>
        <v>0.62901999999999991</v>
      </c>
      <c r="N24" s="92">
        <f>(1-food_insecure)*(0.49)+food_insecure*(0.7)</f>
        <v>0.62901999999999991</v>
      </c>
      <c r="O24" s="92">
        <f>(1-food_insecure)*(0.49)+food_insecure*(0.7)</f>
        <v>0.62901999999999991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8.5482478656005792E-2</v>
      </c>
      <c r="M25" s="92">
        <f>(1-food_insecure)*(0.21)+food_insecure*(0.3)</f>
        <v>0.26957999999999999</v>
      </c>
      <c r="N25" s="92">
        <f>(1-food_insecure)*(0.21)+food_insecure*(0.3)</f>
        <v>0.26957999999999999</v>
      </c>
      <c r="O25" s="92">
        <f>(1-food_insecure)*(0.21)+food_insecure*(0.3)</f>
        <v>0.26957999999999999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3.2153436218261694E-2</v>
      </c>
      <c r="M26" s="92">
        <f>(1-food_insecure)*(0.3)</f>
        <v>0.10139999999999999</v>
      </c>
      <c r="N26" s="92">
        <f>(1-food_insecure)*(0.3)</f>
        <v>0.10139999999999999</v>
      </c>
      <c r="O26" s="92">
        <f>(1-food_insecure)*(0.3)</f>
        <v>0.10139999999999999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0.68290496826171898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0.3</v>
      </c>
      <c r="D33" s="92">
        <f t="shared" si="3"/>
        <v>0.3</v>
      </c>
      <c r="E33" s="92">
        <f t="shared" si="3"/>
        <v>0.3</v>
      </c>
      <c r="F33" s="92">
        <f t="shared" si="3"/>
        <v>0.3</v>
      </c>
      <c r="G33" s="92">
        <f t="shared" si="3"/>
        <v>0.3</v>
      </c>
      <c r="H33" s="92">
        <f t="shared" si="3"/>
        <v>0.3</v>
      </c>
      <c r="I33" s="92">
        <f t="shared" si="3"/>
        <v>0.3</v>
      </c>
      <c r="J33" s="92">
        <f t="shared" si="3"/>
        <v>0.3</v>
      </c>
      <c r="K33" s="92">
        <f t="shared" si="3"/>
        <v>0.3</v>
      </c>
      <c r="L33" s="92">
        <f t="shared" si="3"/>
        <v>0.3</v>
      </c>
      <c r="M33" s="92">
        <f t="shared" si="3"/>
        <v>0.3</v>
      </c>
      <c r="N33" s="92">
        <f t="shared" si="3"/>
        <v>0.3</v>
      </c>
      <c r="O33" s="92">
        <f t="shared" si="3"/>
        <v>0.3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2020-03-24T06:50:26Z</dcterms:modified>
</cp:coreProperties>
</file>