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C205ACC4-F9D4-4F4C-AEBB-74B2218A5EE0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H7" i="2"/>
  <c r="H8" i="2"/>
  <c r="H9" i="2"/>
  <c r="H10" i="2"/>
  <c r="H11" i="2"/>
  <c r="I11" i="2" s="1"/>
  <c r="H12" i="2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C6" i="51"/>
  <c r="I38" i="2"/>
  <c r="I22" i="2"/>
  <c r="I18" i="2"/>
  <c r="I31" i="2"/>
  <c r="I27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I15" i="2" l="1"/>
  <c r="I14" i="2"/>
  <c r="I13" i="2"/>
  <c r="I12" i="2"/>
  <c r="I10" i="2"/>
  <c r="I9" i="2"/>
  <c r="I8" i="2"/>
  <c r="I7" i="2"/>
  <c r="I6" i="2"/>
  <c r="I4" i="2"/>
  <c r="I3" i="2"/>
  <c r="I2" i="2"/>
  <c r="C8" i="51"/>
  <c r="C7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06ACB175-B0A8-4001-B7FD-1F5225806A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0C531F3D-15C3-4079-8A73-D2928BB15CD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89981B91-0132-4963-A829-9346E0E3B24A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1EF0E4AF-72C4-416E-85DA-45E25751758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18EA5F2F-814D-4B34-AF4F-F2069D9A4A4F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D185B6F8-B4B4-4836-B8C7-80CDEE2AAFFD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C93E90AC-60F2-4D98-8098-00364C8FC142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08B01A2B-B365-43BA-8C0C-BF6268863DD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107A3B74-7EF7-4C38-BA9D-783015E17CA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4A3F371E-CEC3-4F44-814A-274DAE09492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D7E2117F-DA9E-4557-AF55-48BC135F210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7A177ABE-B976-48D4-B8E7-2BB77898DAF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94ACFD80-2A29-4BFD-9E3C-A45B50F38E2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0168F83D-1673-40F2-8238-F5FBC43E337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4B62D6FA-CEEE-4466-AB9F-63303EE8ECE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9F1F049B-4D5D-4872-945D-419B815D6F9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C743CC6E-08BC-45B2-BB15-B46EA706C92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C7A3C167-E885-4B1A-A37C-FD982490A3B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7D1EAF9A-5365-4C39-AD36-DF231074277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F5E13607-72C9-4F41-B3B5-2CAB9DACA3F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5A2AB0AF-569B-46B0-8138-B17621EE5F2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E55E6C02-CAF4-4E42-98C4-C40C97E5600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4F353D15-C585-49FC-97D6-B0FF620EAD48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D503524C-DA19-402D-B728-C78CF0BC289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8012AC1D-00A5-4F4E-9935-5AE4C4D53C9C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F4A33D97-D3B4-4699-9C4B-F381EC94F65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EAEEAB96-B82C-4E19-B3C6-544123FEF46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02165C0A-5D4B-4D3F-91B9-4B3AE69DFA4C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9000584F-BF08-4C1F-BB37-C7F46C76EC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5F59CA61-58ED-4A6F-A460-EB60376695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4E9DF3D6-A523-4C16-BCDC-B6D321E564D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3A7B6BCA-67F9-4CEE-BAF4-D2AA28C5F77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5DDA1494-37F3-4647-8FDD-83D7565FE5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259D87ED-0EC5-4C1D-AA39-DDA36BDA6DC8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 [Filler data]</t>
        </r>
      </text>
    </comment>
    <comment ref="C59" authorId="0" shapeId="0" xr:uid="{4A8F2F42-ECC2-488F-BF64-11AAEFE7B311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EFECBF6D-7FAC-45EB-9DD4-BEB4314B48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6E984E67-9AF0-4094-8928-AC58DC73D5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F702E258-C827-47C7-9A45-AD179F5EBC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E75BD8CD-6997-48E6-AECF-66298E9593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08FA4EAB-A8B0-44D7-A4C2-CC53F0B2A4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4D519B6B-424F-48BE-A494-AB80D7E7EB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F3DC9160-E1DD-409E-8759-B385B37F7F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1BB78102-3537-43F1-8B23-AEC6D19A01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034424C0-F4A4-464B-8A5F-859DA70175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58C67D1E-6A1E-47DF-85C3-C15BFA1058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192B2DD9-6477-4AEF-8771-B92221F797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52C888FD-C956-4D59-808C-BA8D0ADCD7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92FFC4BC-C1DD-4B8F-840D-A74868FC4F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89045070-60C1-4896-B15B-31654DDAB4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18F0F635-5E09-47BF-B7A7-7446621AB5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2F012C5A-81A0-476D-8966-C6040FE534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5BB4D9C9-175C-4B03-A787-F0D5C9D447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8DC7170C-118C-4660-9C63-ADCCF720D1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0DDEA483-DABC-48A9-94CC-87BA638383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656D4CBF-75D3-4755-AA81-1D528F11B5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DA7FF279-72D4-42C4-9D9B-EA4412CB15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885F98D8-AF01-4125-9C34-273CA9B606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FBE6A9C2-9AFB-41FD-92B2-363D54475B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D5F20258-F99B-4219-9A8E-E7355F3992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D8950350-488F-42B5-88E5-6F565E17BE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B52827BA-352C-4BAF-8D93-11ECC66B01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DD202C38-AEA3-4191-98BC-0E4B1761F4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5BB0FE06-03EB-4881-BD9F-C0D96474E8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D4BB93A4-5C79-4824-8F09-AEDD2436B5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EBC3E4F6-72F5-4383-99AE-7E8D892375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657DFF52-8672-4415-BB6C-9206ABEA84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3BEABE02-2110-4207-8488-BBA2E29901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BDC04032-4A0A-4883-B56B-BDFDEF7325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8ADA2DE3-D30D-4727-908C-B45F1F7368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E121C962-3A04-436D-90A7-C1170CB950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354B1FD0-E2FE-4165-9EC8-365EFA8A42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951423C8-8A13-44BA-A639-98F06ECC50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FFE1BB61-1FD7-45E4-9D74-1D22A55972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045C7B36-B53D-4B2C-8725-E550ED708F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E4559245-9B35-41F9-8FCE-4572C7E684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1675404E-C6D4-444A-B3EB-0AB0347543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605CE526-C232-46C7-AFAC-BF9F30E9DC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785A6CD5-BC0A-4323-BCD8-886721C10E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00410479-E80C-4C7B-AD85-EE97989C0C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BE6E6DB8-B721-4865-92EA-8828D24C7C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3B8C87FD-1F71-4CC2-A985-9ECB409B74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35CEFEA6-FCEA-4E5A-99F4-BACA7FD45E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909AC700-4970-427E-AB5C-72B149B904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7DB184DF-3F27-4BE6-BD12-64C5AB7F49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007E2C9D-E82F-4F9E-B89F-09FB6CE1A6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8BDCA8A4-EDC7-434B-BEFC-E358BDEC84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36A336D8-BA76-4ADF-8F81-33E30D5153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4C7D1602-F237-42F1-88C8-C978F26929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91364876-AB6C-4D8A-8F56-CE87B7FFE7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FDF488DA-65D9-43E8-B142-694A5CB3E9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0859ED7D-F227-4DA1-B180-B2791E867A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AE79E9F9-25BC-4ABD-A0B9-03CC29D989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E581F4E4-0AE6-481F-A329-ADF31E4F7D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42C40745-EE66-478A-ADEA-AADE0CE2F4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DF333554-6273-4E87-A88F-3BAA09ADB7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F8EC9061-5AEC-407D-84D6-03961D0205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D74A9289-457B-4EE0-AB02-27E586A3B2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FB6BD0DE-E080-4968-AA9A-30AB418CFC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F877D8FB-98D8-41F0-A612-09026DD5CB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9D8DB263-0FAB-46F2-9FEB-0B93B2BDC9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121CFF8A-6801-427F-8EE7-736195C229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1F5F5392-DD39-448F-ADCC-EEBDD52B7D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0D743631-48B5-4683-8C2E-9F3CC75B62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0A3B1A52-81B0-4D42-8CAB-7C6C9799B1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F504367D-0DBE-488E-A4FE-2D6A9DBE0F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318FFEBD-D4DC-4031-A88B-B7DC716411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44C2D0A2-3E6C-44EA-94EE-3ACD3615E7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677D4B95-F394-43A3-BAB5-FF0938DFBA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782CA9B2-4ECA-477A-8478-A669D3D271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D4888E36-167D-48B9-AB09-9C8C6DCC8C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DB05C63D-F078-4569-B764-9018059FCB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350AE74C-9FB8-4170-B7F9-C19506FAA6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D799C99A-F3E2-4280-8051-D13083C2CE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FD980A3E-38AF-4A26-B703-DF12B2215FF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79E49FCE-D18A-43D7-9344-B368BB6186E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7A744FF2-6520-47BD-AE5E-0325AAA62DB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5087513F-1E47-49D5-AC88-D11ABDA66A3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9781F88D-A218-4742-AEF4-59F7B2000C6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61D9CF8C-D974-4AD9-9ED2-0DE938D2514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0B4BAE64-C13B-485E-9A35-36A72B8F78F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4768C061-A599-4B98-8B0D-2B4C1565E3F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1F3A3C2C-B406-46C5-922D-CFD52EE0EB1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CF901C33-CD57-4B41-98DE-E3F5E7618EB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1E75242D-5EE3-4666-8597-E0F4E7D9B94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D1FA995A-79A2-48FC-A919-F3791923317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70532D23-8BC4-4F51-B441-2A5E79D7BDC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95B13AD1-5DF5-4209-B547-0AA79409098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EAB16250-B3F1-4C27-BE5D-2A927E8716E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16651FF7-15D6-4FAC-B5E9-157FD4FC993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0CB0DE39-5C5E-43FE-972B-B6511925B92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A26D10F6-9F28-44EE-93E1-9AACA39ECD9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0FF27C07-659B-4840-8A99-2A0482C0733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FF2F2FF4-0E56-4E50-A281-9C5A98ABC11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9A9DFE66-18A2-4697-B59C-051E6D4601F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DAEE607D-7239-4971-9B05-765D95673ED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37A12C4A-D1A3-47A9-A988-3538917DFD5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EB6ABA69-A322-4CEC-ABB7-149952BB1BE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6A770FD1-E714-4D64-AABA-673279176A4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1DBB4E18-B4A1-43F0-BEC3-527BC74FFAB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A0082B0B-591D-4DE7-AC0F-BD2239AF4F7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466960DD-232C-4A80-AC3D-65C130A9AE9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C77D34D2-367D-4E96-93A6-240918A8F9F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A3E83A2B-8006-40D3-BF9C-F1F0F897CDF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C985C19B-5634-40B8-8F09-37E900D00F9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E1E3CC17-1DF1-499C-A37F-E960CB02F84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96E8D6BE-FC26-47A8-9050-BDC06F8BC75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3A46F87E-1A4D-4FCC-89A5-CD2F365A4FC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FF3FDB09-0164-48A0-8A08-461689488ED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C0D87F9A-6D59-4208-979A-A10D11D05C7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FC87659A-007B-4C70-A729-9253E83F4D3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B9BEC1D7-1435-4530-B04A-883051D5C68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11B58622-95D4-41B1-AF70-C8F2F90A8AB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BA0508FB-E4C3-49FC-A6AD-233FB7B6D7E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B523A3B6-3612-40E0-8D0C-91AD64004DE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02B36517-C5BF-4604-9ABE-19205C87B0F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77DA894-C745-407E-B091-4F974FFE8B4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A00646AD-2183-4364-827C-B94E9439C18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FAC46F38-D785-4782-9650-1205388AB80C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606C9B9B-9181-4F4F-AA08-5E615013338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C4C9E5B7-5C7F-40CB-8525-F726ABE4BD2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977BB372-EF1C-433E-B4D0-DF9AC0D16C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3FF1E008-1BC5-482F-9107-C413BDDC63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3C43135D-BDF4-42B3-A274-3ED4A6DFCCF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DC2AF072-52C7-4DC5-BDB2-77BA292C515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A0FEE3C3-E3F8-4E45-9C6B-76618195944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B9A16A01-CB45-491D-BD38-722727A57F9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76C1F3F2-7A23-4ABA-B085-80CA4C95C84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59A49B7B-37F9-4B64-B373-8DE6559435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8CDB0DEC-C304-4FCF-9F83-031B0D01BD2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17D0A885-099C-46B7-A765-95AF4C7D210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444215EF-6823-4B9C-A5C5-597A20CB93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27B5C92B-89BE-4207-B1B3-3BA7C928E8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BB329352-D5F0-41F6-B635-A1D7313C19F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9707B2A8-9495-4835-9EB5-1DBFF79D47A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A7C5BCB8-D4B0-4219-84BB-9874DC1F7FD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066CB711-4791-45D0-AADB-9737CA628CB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3A3ABDF5-FFC6-4579-90AB-C00C84F86B3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4BFA38D4-8905-4777-B768-3D98AF66F36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34C1FE7D-8F6C-4164-8D88-68792200873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EC1B3719-1930-43CB-B7A6-0309921F741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DF8A01B9-755A-4269-9827-89DB1E1ABF5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8A1650E5-BF3A-4C19-B28A-C39766F7FB3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BAFDA7B0-BDBE-4B52-AACF-6FD79872655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91889AAD-4558-4BA4-8BF7-D5B78C35C6A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0B1E1E57-E3E1-4244-9CE3-439493BC2B5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2DBC4C70-6D84-42BA-8F23-A1F51496D6C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4FCAA120-A54E-413D-856C-7A537078DDA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CAE7F07E-E0A2-4840-85C5-3CE37E41E7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F3479BA5-297F-4E60-A651-A1ED75CD98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0EBBD816-F2F0-4D67-8DC1-D62C51B9CAD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85B62D4D-87DB-4C52-9AB6-D6642816C9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2A37A68F-FBB6-48D6-93BB-8F997FFFF49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77007535-1CE5-4BA7-A6D7-06B60C8B6AA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E31ACE68-A659-4454-9F70-04392A14F44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B054E6D0-5A5A-42E4-A1CA-8B6F83F9EA0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F454E472-F228-46A2-B3BD-88D343794D5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714A9D5F-AADF-412B-ADD8-68A78A0B0D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704C61B4-6471-4209-A277-8F7E904A1D4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69E7A174-7030-48EE-A5F1-E76AC640E6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38F77253-D705-4130-9F87-9AD6D776104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24E858FF-A232-4498-9026-307FBA5E2EE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F7CCA88B-2CA4-49DB-85EC-AD23B46A2BF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ECB1B33D-E8FD-4166-9D17-D5C4493ED09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0876E511-AD58-4F48-A0A0-CADF147FBAC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51E14B61-0BDE-4A12-A899-EFDF74A479B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B166A624-5599-4782-B485-549AA44C3E7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116032DF-3EB1-4D6E-868F-A4FED0779EE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BA9E7A8E-E2D0-449B-ACEC-FDC8AB557B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16DBFAF2-8072-4150-9381-FFE8FA11E1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E676A17D-0107-4D2E-B3B4-83FAEA9CDC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BB2A669B-2816-4E97-8927-9786D5A83B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C5725634-76AD-4407-9C2C-C32597EC87C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07E2EFA9-C60B-4DD6-9396-ADCE9CD8E0A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7BF18682-962E-4D5B-97E4-EA1ECB54D3AB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1F9F34AF-26A8-4EFB-BACB-B44A3DFF3D9A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9062A05D-E52B-437F-B647-6EAE6A2B835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7589CCCD-5DB3-4436-8B19-87FDA45D3939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4559B748-559C-4513-80CC-3A8A00C720D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A7B6B1B1-591D-43E2-ADD9-4DFFACB17CD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01E4F917-DF10-41F5-9474-793EF8EC3B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0CB0926A-D8FF-475C-B0F0-D35164300A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D162EA72-2BDE-4439-9F9A-D14A397EFB2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4115DBBD-9310-4E71-85BD-0DF2159B76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F9F56A3F-514E-4D86-B99C-ED75EABFBA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57F69E58-D998-4E64-A788-7235BF6877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C045DAD9-1906-47C6-A46B-8A09D65652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92981CDE-32CE-429D-953F-75358C1C7C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FC0FF3DA-ADF4-4850-8114-A87CAD9FE6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D6C873D6-E3AF-4EB0-B453-2566F1DB4E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8C20E3AD-C96D-4E9C-BB96-C3D39ED44A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B306E291-2422-41ED-A89F-15D6A6C321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DD4675DD-D0DE-4321-9894-F0842F0C6ED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507D1A50-9D91-4244-BAF6-0C8DD070EF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1CECBBF8-A85A-425F-BFCD-32D3FC2369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66AF91BC-7E07-452D-88E2-EB4B91D2A9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7EECFD59-A8E2-4DA8-8AD7-88578E9E46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D25A5EAC-9A7D-4AD3-86CD-28A6BB3BE0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99408A4C-7670-4240-9C22-F496BF1C62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6CC6183E-F36F-4CDF-B455-D0EA241C53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8142F6DA-DCB0-41F5-8159-40708453A7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1546610F-9B1E-4B6A-A490-1281CB2E57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B789D069-73F3-468A-9BD1-BD26B49F70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0D4DB8C3-6BBC-4CDC-B7C6-CB079525F3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F8EA34D8-CC66-4D75-A16C-BD010EEDF3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DE21FAA4-6459-41D7-8CAE-FA1DAEE15B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B2C93A08-4248-4949-A012-BC885AF41C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38BEAAE3-151C-4EC6-9302-AE06EEAF06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271DE84D-0AA8-40DB-90A6-0C59B79607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8A7FFF49-FAEF-4189-991E-A1BAC5E75C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AF92E910-0E1E-4FF5-90C4-F8CEF1F264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5F4075B0-62E9-4690-ACC7-C059C8FF82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38836157-A25A-4BB9-ADF4-9BD8675DBF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C68415E3-670E-4133-AD12-A67B4F62DE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B8C06D15-FB83-4718-9226-67FF7BA3C3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75F00A65-E003-4E72-AAD2-ED7374758B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F662A127-B524-4832-A680-1FE2E257BD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1ED80E64-4363-46DA-88BD-A0E458BB84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05215440-D0F2-4EE6-851E-7B49CC1A13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D1E38005-7E66-4CD3-9ED0-5CF2CDDF94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FCF32C4D-3A0F-4C2B-9B78-78A2450A5C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6521573F-6FB4-4922-856D-FB1913B5DE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BE68FEBA-6581-49DA-8877-4E8239319CB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3A7F8921-328F-40BC-9678-AEB67FF631A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EEE37521-F7DA-4DA9-86C8-ED2517CEE5C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F5A27AC9-CACC-474A-BCE7-4216AE862C2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E98CF2DC-F6DB-487F-86DC-97C6413D133E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9754539F-84C0-40D2-8DEB-7AD299AEC74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BB3CAF09-8FA2-4B76-A71D-D0F28AA2F68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BD85A9B6-AED7-47F5-BA0C-E7C7330CE26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2724F3B6-839D-41A2-869B-5D7E368FB88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DB717107-9617-4E72-B1BC-46E9E009FFE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BC4AA347-2A19-4DF5-BC4A-437C5DBB3CB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376CDC37-C089-42E4-B2D3-63E8AC7BEE9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6E24A1F7-F074-4405-BDEE-6B2B51F5CCE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7B78A49E-410B-4CA7-A105-8EEF14E9D7E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D78D4455-C5C9-475A-9747-56783310573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C684D093-B8AA-4DBC-8BC5-08CAD480B26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5569D941-2107-4211-9AE0-9AED5CD420D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53702702-6F3F-46A4-A11D-12E8389D6F8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1092A7DC-E8F5-4A8B-972A-70439BE7F66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2F8ECC34-9B5B-4D60-90B1-E473AA1EAA5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1366594D-A6B3-49C2-A40D-57EB662FA54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8D1A8DA3-6A4B-48ED-B1AB-CDF05486C48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8B9253E9-2397-4C8B-B8AB-2FB66A076B9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E4373073-D530-4CAB-9314-C25629F15A7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4F66C3C1-2495-41DF-8538-0568DFC88AE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EE5A6F09-343C-4553-9092-A717570597D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B5945948-B198-4232-B207-BAAF293BA269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7939D232-4AA8-4D09-938B-366044AA814B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2B8B1336-9460-4A6E-BBF2-11CF05A2301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0A3DD2A4-D8CB-4738-B815-A897DED8EE5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ADDB33B4-B576-4A7F-B2D5-4B2E0B54C53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2CC95381-93D8-4DC1-9A73-AEC38B89671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FA6DC4EB-E0E1-416A-BB03-CAFEC8D21D6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DBE1809C-3AFB-46D0-B9EC-6FFD3A2B4065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107BF20E-0D9D-48F2-BD85-022C56B135E9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E8F9F143-DDC2-495F-AD14-6E2091AE1E8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BE63501A-A4DC-4348-8582-9E0CCF036FF9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D411EAB6-BDD4-42CE-B7D6-582F01633A4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A85BC311-D04D-4CE9-BAA3-746A3FE3CE0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007C3F26-4208-4802-8435-B7B723611D0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B57872A0-7CEB-4BFE-8409-84FCDD44C13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89D0BC01-42F4-4ED1-846C-7291F9E3166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2E858A2A-E7FB-4E3A-9EDE-2412177D2448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6CB416A8-981E-42AC-B982-07FEFC94580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7ECE6925-D314-429B-9678-1E074B6478D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5777F9ED-C3DF-460D-B5FF-02B5E731EEA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F5694580-63DE-44A0-83AE-4D2358CE215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254FB674-49B6-475A-9760-B0D2B7F424F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973A72EC-CD31-4046-A4D2-79E12ECB588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0C28FC5A-7659-4D12-B793-41BB5EE6F5B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94EACFF4-6461-4382-925C-DAF6D1595888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305F1FF4-FEF0-4A26-80E8-8C9693A4E670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F2C36A02-9DCC-417F-B58A-C1836B6D189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4C8DF059-6170-4DE4-BA65-98B8E6D56CA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58497B1F-18AB-4582-9A3E-610270C0E6D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BCE52236-EA3B-4260-88A2-AAA8B8C4E44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46B8473A-49F9-4798-818F-036015E5D4D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91D7F793-5392-4EF5-9DA9-F195EB4834D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E6B38D61-769D-4B29-9EA6-8536CC1994DA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A4319816-76EF-4ECD-B36F-8A121BD6DCA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1DADD953-76FA-45B8-83B7-7BBE50171F39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D8E9158B-DFA8-463F-B717-4733145C9AC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<sst xmlns="http://schemas.openxmlformats.org/spreadsheetml/2006/main" count="1102" uniqueCount="271">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</sst>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373246</v>
      </c>
    </row>
    <row r="8" spans="1:3" ht="15" customHeight="1" x14ac:dyDescent="0.25">
      <c r="B8" s="7" t="s">
        <v>106</v>
      </c>
      <c r="C8" s="70">
        <v>0.24299999999999999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0.92928009033203096</v>
      </c>
    </row>
    <row r="11" spans="1:3" ht="15" customHeight="1" x14ac:dyDescent="0.25">
      <c r="B11" s="7" t="s">
        <v>108</v>
      </c>
      <c r="C11" s="70">
        <v>0.93900000000000006</v>
      </c>
    </row>
    <row r="12" spans="1:3" ht="15" customHeight="1" x14ac:dyDescent="0.25">
      <c r="B12" s="7" t="s">
        <v>109</v>
      </c>
      <c r="C12" s="70">
        <v>0.89700000000000002</v>
      </c>
    </row>
    <row r="13" spans="1:3" ht="15" customHeight="1" x14ac:dyDescent="0.25">
      <c r="B13" s="7" t="s">
        <v>110</v>
      </c>
      <c r="C13" s="70">
        <v>0.74900000000000011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5.9699999999999996E-2</v>
      </c>
    </row>
    <row r="24" spans="1:3" ht="15" customHeight="1" x14ac:dyDescent="0.25">
      <c r="B24" s="20" t="s">
        <v>102</v>
      </c>
      <c r="C24" s="71">
        <v>0.495</v>
      </c>
    </row>
    <row r="25" spans="1:3" ht="15" customHeight="1" x14ac:dyDescent="0.25">
      <c r="B25" s="20" t="s">
        <v>103</v>
      </c>
      <c r="C25" s="71">
        <v>0.42229999999999995</v>
      </c>
    </row>
    <row r="26" spans="1:3" ht="15" customHeight="1" x14ac:dyDescent="0.25">
      <c r="B26" s="20" t="s">
        <v>104</v>
      </c>
      <c r="C26" s="71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3.7</v>
      </c>
    </row>
    <row r="38" spans="1:5" ht="15" customHeight="1" x14ac:dyDescent="0.25">
      <c r="B38" s="16" t="s">
        <v>91</v>
      </c>
      <c r="C38" s="75">
        <v>5</v>
      </c>
      <c r="D38" s="17"/>
      <c r="E38" s="18"/>
    </row>
    <row r="39" spans="1:5" ht="15" customHeight="1" x14ac:dyDescent="0.25">
      <c r="B39" s="16" t="s">
        <v>90</v>
      </c>
      <c r="C39" s="75">
        <v>5.7</v>
      </c>
      <c r="D39" s="17"/>
      <c r="E39" s="17"/>
    </row>
    <row r="40" spans="1:5" ht="15" customHeight="1" x14ac:dyDescent="0.25">
      <c r="B40" s="16" t="s">
        <v>171</v>
      </c>
      <c r="C40" s="75">
        <v>0.17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1.3825999874949999</v>
      </c>
      <c r="D51" s="17"/>
    </row>
    <row r="52" spans="1:4" ht="15" customHeight="1" x14ac:dyDescent="0.25">
      <c r="B52" s="16" t="s">
        <v>125</v>
      </c>
      <c r="C52" s="76">
        <v>1.3658650050299999</v>
      </c>
    </row>
    <row r="53" spans="1:4" ht="15.75" customHeight="1" x14ac:dyDescent="0.25">
      <c r="B53" s="16" t="s">
        <v>126</v>
      </c>
      <c r="C53" s="76">
        <v>1.3658650050299999</v>
      </c>
    </row>
    <row r="54" spans="1:4" ht="15.75" customHeight="1" x14ac:dyDescent="0.25">
      <c r="B54" s="16" t="s">
        <v>127</v>
      </c>
      <c r="C54" s="76">
        <v>1.2917000376900001</v>
      </c>
    </row>
    <row r="55" spans="1:4" ht="15.75" customHeight="1" x14ac:dyDescent="0.25">
      <c r="B55" s="16" t="s">
        <v>128</v>
      </c>
      <c r="C55" s="76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0.55375961097419568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66.2077864022162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40.063438578113967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542.61982788724652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6.5039724560692287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1.6629042925958601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1.6629042925958601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1.6629042925958601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1.6629042925958601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13.195738021909877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13.195738021909877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0.90250382180522548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0.89599999999999991</v>
      </c>
      <c r="C18" s="85">
        <v>0.95</v>
      </c>
      <c r="D18" s="87">
        <v>12.47074045559749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12.47074045559749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12.47074045559749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68.582775194044444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22.867873379757977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4.3940617735474108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18.764182705510283</v>
      </c>
      <c r="E24" s="86" t="s">
        <v>202</v>
      </c>
    </row>
    <row r="25" spans="1:5" ht="15.75" customHeight="1" x14ac:dyDescent="0.25">
      <c r="A25" s="52" t="s">
        <v>87</v>
      </c>
      <c r="B25" s="85">
        <v>0.69499999999999995</v>
      </c>
      <c r="C25" s="85">
        <v>0.95</v>
      </c>
      <c r="D25" s="86">
        <v>18.768514399252872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5.6319900040798876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8.5562475266853504</v>
      </c>
      <c r="E27" s="86" t="s">
        <v>202</v>
      </c>
    </row>
    <row r="28" spans="1:5" ht="15.75" customHeight="1" x14ac:dyDescent="0.25">
      <c r="A28" s="52" t="s">
        <v>84</v>
      </c>
      <c r="B28" s="85">
        <v>0.36</v>
      </c>
      <c r="C28" s="85">
        <v>0.95</v>
      </c>
      <c r="D28" s="86">
        <v>1.2960813348752875</v>
      </c>
      <c r="E28" s="86" t="s">
        <v>202</v>
      </c>
    </row>
    <row r="29" spans="1:5" ht="15.75" customHeight="1" x14ac:dyDescent="0.25">
      <c r="A29" s="52" t="s">
        <v>58</v>
      </c>
      <c r="B29" s="85">
        <v>0.89599999999999991</v>
      </c>
      <c r="C29" s="85">
        <v>0.95</v>
      </c>
      <c r="D29" s="86">
        <v>132.31394293530053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1.1924310040780741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1.9566915430729113</v>
      </c>
      <c r="E31" s="86" t="s">
        <v>202</v>
      </c>
    </row>
    <row r="32" spans="1:5" ht="15.75" customHeight="1" x14ac:dyDescent="0.25">
      <c r="A32" s="52" t="s">
        <v>83</v>
      </c>
      <c r="B32" s="85">
        <v>0.98599999999999999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0.25700000000000001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0.96400000000000008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0.99199999999999999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0.93900000000000006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2.7646290900518156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1.9778137491873509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0.20424108041999997</v>
      </c>
      <c r="C3" s="26">
        <f>frac_mam_1_5months * 2.6</f>
        <v>0.20424108041999997</v>
      </c>
      <c r="D3" s="26">
        <f>frac_mam_6_11months * 2.6</f>
        <v>0.15369943680000001</v>
      </c>
      <c r="E3" s="26">
        <f>frac_mam_12_23months * 2.6</f>
        <v>9.1569004800000006E-3</v>
      </c>
      <c r="F3" s="26">
        <f>frac_mam_24_59months * 2.6</f>
        <v>5.1257935733333336E-2</v>
      </c>
    </row>
    <row r="4" spans="1:6" ht="15.75" customHeight="1" x14ac:dyDescent="0.25">
      <c r="A4" s="3" t="s">
        <v>66</v>
      </c>
      <c r="B4" s="26">
        <f>frac_sam_1month * 2.6</f>
        <v>1.3438823579999998E-2</v>
      </c>
      <c r="C4" s="26">
        <f>frac_sam_1_5months * 2.6</f>
        <v>1.3438823579999998E-2</v>
      </c>
      <c r="D4" s="26">
        <f>frac_sam_6_11months * 2.6</f>
        <v>3.2023191200000002E-2</v>
      </c>
      <c r="E4" s="26">
        <f>frac_sam_12_23months * 2.6</f>
        <v>1.9160544520000003E-2</v>
      </c>
      <c r="F4" s="26">
        <f>frac_sam_24_59months * 2.6</f>
        <v>3.4037153800000004E-2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64591.893599999996</v>
      </c>
      <c r="C2" s="78">
        <v>205331</v>
      </c>
      <c r="D2" s="78">
        <v>446828</v>
      </c>
      <c r="E2" s="78">
        <v>475941</v>
      </c>
      <c r="F2" s="78">
        <v>317589</v>
      </c>
      <c r="G2" s="22">
        <f t="shared" ref="G2:G40" si="0">C2+D2+E2+F2</f>
        <v>1445689</v>
      </c>
      <c r="H2" s="22">
        <f t="shared" ref="H2:H40" si="1">(B2 + stillbirth*B2/(1000-stillbirth))/(1-abortion)</f>
        <v>74691.706098660929</v>
      </c>
      <c r="I2" s="22">
        <f>G2-H2</f>
        <v>1370997.2939013392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67272.954666666657</v>
      </c>
      <c r="C3" s="78">
        <v>205000</v>
      </c>
      <c r="D3" s="78">
        <v>439000</v>
      </c>
      <c r="E3" s="78">
        <v>488000</v>
      </c>
      <c r="F3" s="78">
        <v>329000</v>
      </c>
      <c r="G3" s="22">
        <f t="shared" si="0"/>
        <v>1461000</v>
      </c>
      <c r="H3" s="22">
        <f t="shared" si="1"/>
        <v>77791.987172074587</v>
      </c>
      <c r="I3" s="22">
        <f t="shared" ref="I3:I15" si="3">G3-H3</f>
        <v>1383208.0128279254</v>
      </c>
    </row>
    <row r="4" spans="1:9" ht="15.75" customHeight="1" x14ac:dyDescent="0.25">
      <c r="A4" s="7">
        <f t="shared" si="2"/>
        <v>2019</v>
      </c>
      <c r="B4" s="77">
        <v>69930.101333333325</v>
      </c>
      <c r="C4" s="78">
        <v>204000</v>
      </c>
      <c r="D4" s="78">
        <v>430000</v>
      </c>
      <c r="E4" s="78">
        <v>501000</v>
      </c>
      <c r="F4" s="78">
        <v>340000</v>
      </c>
      <c r="G4" s="22">
        <f t="shared" si="0"/>
        <v>1475000</v>
      </c>
      <c r="H4" s="22">
        <f t="shared" si="1"/>
        <v>80864.614506965154</v>
      </c>
      <c r="I4" s="22">
        <f t="shared" si="3"/>
        <v>1394135.385493035</v>
      </c>
    </row>
    <row r="5" spans="1:9" ht="15.75" customHeight="1" x14ac:dyDescent="0.25">
      <c r="A5" s="7">
        <f t="shared" si="2"/>
        <v>2020</v>
      </c>
      <c r="B5" s="77">
        <v>72564.639999999999</v>
      </c>
      <c r="C5" s="78">
        <v>202000</v>
      </c>
      <c r="D5" s="78">
        <v>424000</v>
      </c>
      <c r="E5" s="78">
        <v>513000</v>
      </c>
      <c r="F5" s="78">
        <v>352000</v>
      </c>
      <c r="G5" s="22">
        <f t="shared" si="0"/>
        <v>1491000</v>
      </c>
      <c r="H5" s="22">
        <f t="shared" si="1"/>
        <v>83911.098776567451</v>
      </c>
      <c r="I5" s="22">
        <f t="shared" si="3"/>
        <v>1407088.9012234325</v>
      </c>
    </row>
    <row r="6" spans="1:9" ht="15.75" customHeight="1" x14ac:dyDescent="0.25">
      <c r="A6" s="7">
        <f t="shared" si="2"/>
        <v>2021</v>
      </c>
      <c r="B6" s="77">
        <v>71953.26920000001</v>
      </c>
      <c r="C6" s="78">
        <v>199000</v>
      </c>
      <c r="D6" s="78">
        <v>417000</v>
      </c>
      <c r="E6" s="78">
        <v>525000</v>
      </c>
      <c r="F6" s="78">
        <v>363000</v>
      </c>
      <c r="G6" s="22">
        <f t="shared" si="0"/>
        <v>1504000</v>
      </c>
      <c r="H6" s="22">
        <f t="shared" si="1"/>
        <v>83204.131917944469</v>
      </c>
      <c r="I6" s="22">
        <f t="shared" si="3"/>
        <v>1420795.8680820556</v>
      </c>
    </row>
    <row r="7" spans="1:9" ht="15.75" customHeight="1" x14ac:dyDescent="0.25">
      <c r="A7" s="7">
        <f t="shared" si="2"/>
        <v>2022</v>
      </c>
      <c r="B7" s="77">
        <v>71344.468800000017</v>
      </c>
      <c r="C7" s="78">
        <v>195000</v>
      </c>
      <c r="D7" s="78">
        <v>412000</v>
      </c>
      <c r="E7" s="78">
        <v>537000</v>
      </c>
      <c r="F7" s="78">
        <v>374000</v>
      </c>
      <c r="G7" s="22">
        <f t="shared" si="0"/>
        <v>1518000</v>
      </c>
      <c r="H7" s="22">
        <f t="shared" si="1"/>
        <v>82500.137375980034</v>
      </c>
      <c r="I7" s="22">
        <f t="shared" si="3"/>
        <v>1435499.8626240199</v>
      </c>
    </row>
    <row r="8" spans="1:9" ht="15.75" customHeight="1" x14ac:dyDescent="0.25">
      <c r="A8" s="7">
        <f t="shared" si="2"/>
        <v>2023</v>
      </c>
      <c r="B8" s="77">
        <v>70727.925600000002</v>
      </c>
      <c r="C8" s="78">
        <v>192000</v>
      </c>
      <c r="D8" s="78">
        <v>407000</v>
      </c>
      <c r="E8" s="78">
        <v>550000</v>
      </c>
      <c r="F8" s="78">
        <v>387000</v>
      </c>
      <c r="G8" s="22">
        <f t="shared" si="0"/>
        <v>1536000</v>
      </c>
      <c r="H8" s="22">
        <f t="shared" si="1"/>
        <v>81787.189342954283</v>
      </c>
      <c r="I8" s="22">
        <f t="shared" si="3"/>
        <v>1454212.8106570458</v>
      </c>
    </row>
    <row r="9" spans="1:9" ht="15.75" customHeight="1" x14ac:dyDescent="0.25">
      <c r="A9" s="7">
        <f t="shared" si="2"/>
        <v>2024</v>
      </c>
      <c r="B9" s="77">
        <v>70114.04800000001</v>
      </c>
      <c r="C9" s="78">
        <v>188000</v>
      </c>
      <c r="D9" s="78">
        <v>403000</v>
      </c>
      <c r="E9" s="78">
        <v>563000</v>
      </c>
      <c r="F9" s="78">
        <v>398000</v>
      </c>
      <c r="G9" s="22">
        <f t="shared" si="0"/>
        <v>1552000</v>
      </c>
      <c r="H9" s="22">
        <f t="shared" si="1"/>
        <v>81077.32371238929</v>
      </c>
      <c r="I9" s="22">
        <f t="shared" si="3"/>
        <v>1470922.6762876108</v>
      </c>
    </row>
    <row r="10" spans="1:9" ht="15.75" customHeight="1" x14ac:dyDescent="0.25">
      <c r="A10" s="7">
        <f t="shared" si="2"/>
        <v>2025</v>
      </c>
      <c r="B10" s="77">
        <v>69492.618000000002</v>
      </c>
      <c r="C10" s="78">
        <v>185000</v>
      </c>
      <c r="D10" s="78">
        <v>398000</v>
      </c>
      <c r="E10" s="78">
        <v>578000</v>
      </c>
      <c r="F10" s="78">
        <v>410000</v>
      </c>
      <c r="G10" s="22">
        <f t="shared" si="0"/>
        <v>1571000</v>
      </c>
      <c r="H10" s="22">
        <f t="shared" si="1"/>
        <v>80358.724762367317</v>
      </c>
      <c r="I10" s="22">
        <f t="shared" si="3"/>
        <v>1490641.2752376327</v>
      </c>
    </row>
    <row r="11" spans="1:9" ht="15.75" customHeight="1" x14ac:dyDescent="0.25">
      <c r="A11" s="7">
        <f t="shared" si="2"/>
        <v>2026</v>
      </c>
      <c r="B11" s="77">
        <v>68805.5478</v>
      </c>
      <c r="C11" s="78">
        <v>183000</v>
      </c>
      <c r="D11" s="78">
        <v>395000</v>
      </c>
      <c r="E11" s="78">
        <v>594000</v>
      </c>
      <c r="F11" s="78">
        <v>422000</v>
      </c>
      <c r="G11" s="22">
        <f t="shared" si="0"/>
        <v>1594000</v>
      </c>
      <c r="H11" s="22">
        <f t="shared" si="1"/>
        <v>79564.22188302227</v>
      </c>
      <c r="I11" s="22">
        <f t="shared" si="3"/>
        <v>1514435.7781169778</v>
      </c>
    </row>
    <row r="12" spans="1:9" ht="15.75" customHeight="1" x14ac:dyDescent="0.25">
      <c r="A12" s="7">
        <f t="shared" si="2"/>
        <v>2027</v>
      </c>
      <c r="B12" s="77">
        <v>68111.744000000006</v>
      </c>
      <c r="C12" s="78">
        <v>181000</v>
      </c>
      <c r="D12" s="78">
        <v>390000</v>
      </c>
      <c r="E12" s="78">
        <v>610000</v>
      </c>
      <c r="F12" s="78">
        <v>434000</v>
      </c>
      <c r="G12" s="22">
        <f t="shared" si="0"/>
        <v>1615000</v>
      </c>
      <c r="H12" s="22">
        <f t="shared" si="1"/>
        <v>78761.932514628017</v>
      </c>
      <c r="I12" s="22">
        <f t="shared" si="3"/>
        <v>1536238.0674853721</v>
      </c>
    </row>
    <row r="13" spans="1:9" ht="15.75" customHeight="1" x14ac:dyDescent="0.25">
      <c r="A13" s="7">
        <f t="shared" si="2"/>
        <v>2028</v>
      </c>
      <c r="B13" s="77">
        <v>67401.325799999991</v>
      </c>
      <c r="C13" s="78">
        <v>180000</v>
      </c>
      <c r="D13" s="78">
        <v>385000</v>
      </c>
      <c r="E13" s="78">
        <v>627000</v>
      </c>
      <c r="F13" s="78">
        <v>446000</v>
      </c>
      <c r="G13" s="22">
        <f t="shared" si="0"/>
        <v>1638000</v>
      </c>
      <c r="H13" s="22">
        <f t="shared" si="1"/>
        <v>77940.430861028231</v>
      </c>
      <c r="I13" s="22">
        <f t="shared" si="3"/>
        <v>1560059.5691389719</v>
      </c>
    </row>
    <row r="14" spans="1:9" ht="15.75" customHeight="1" x14ac:dyDescent="0.25">
      <c r="A14" s="7">
        <f t="shared" si="2"/>
        <v>2029</v>
      </c>
      <c r="B14" s="77">
        <v>66684.623599999992</v>
      </c>
      <c r="C14" s="78">
        <v>179000</v>
      </c>
      <c r="D14" s="78">
        <v>381000</v>
      </c>
      <c r="E14" s="78">
        <v>646000</v>
      </c>
      <c r="F14" s="78">
        <v>458000</v>
      </c>
      <c r="G14" s="22">
        <f t="shared" si="0"/>
        <v>1664000</v>
      </c>
      <c r="H14" s="22">
        <f t="shared" si="1"/>
        <v>77111.662619394512</v>
      </c>
      <c r="I14" s="22">
        <f t="shared" si="3"/>
        <v>1586888.3373806055</v>
      </c>
    </row>
    <row r="15" spans="1:9" ht="15.75" customHeight="1" x14ac:dyDescent="0.25">
      <c r="A15" s="7">
        <f t="shared" si="2"/>
        <v>2030</v>
      </c>
      <c r="B15" s="77">
        <v>65961.805999999997</v>
      </c>
      <c r="C15" s="78">
        <v>178000</v>
      </c>
      <c r="D15" s="78">
        <v>376000</v>
      </c>
      <c r="E15" s="78">
        <v>664000</v>
      </c>
      <c r="F15" s="78">
        <v>470000</v>
      </c>
      <c r="G15" s="22">
        <f t="shared" si="0"/>
        <v>1688000</v>
      </c>
      <c r="H15" s="22">
        <f t="shared" si="1"/>
        <v>76275.822752607593</v>
      </c>
      <c r="I15" s="22">
        <f t="shared" si="3"/>
        <v>1611724.1772473925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127.19998149818451</v>
      </c>
      <c r="I17" s="22">
        <f t="shared" si="4"/>
        <v>-127.19998149818451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5.0787925000000001E-3</v>
      </c>
    </row>
    <row r="4" spans="1:8" ht="15.75" customHeight="1" x14ac:dyDescent="0.25">
      <c r="B4" s="24" t="s">
        <v>7</v>
      </c>
      <c r="C4" s="79">
        <v>4.0265801837359373E-2</v>
      </c>
    </row>
    <row r="5" spans="1:8" ht="15.75" customHeight="1" x14ac:dyDescent="0.25">
      <c r="B5" s="24" t="s">
        <v>8</v>
      </c>
      <c r="C5" s="79">
        <v>2.742621609592252E-2</v>
      </c>
    </row>
    <row r="6" spans="1:8" ht="15.75" customHeight="1" x14ac:dyDescent="0.25">
      <c r="B6" s="24" t="s">
        <v>10</v>
      </c>
      <c r="C6" s="79">
        <v>0.11945546993473161</v>
      </c>
    </row>
    <row r="7" spans="1:8" ht="15.75" customHeight="1" x14ac:dyDescent="0.25">
      <c r="B7" s="24" t="s">
        <v>13</v>
      </c>
      <c r="C7" s="79">
        <v>0.43274836534475125</v>
      </c>
    </row>
    <row r="8" spans="1:8" ht="15.75" customHeight="1" x14ac:dyDescent="0.25">
      <c r="B8" s="24" t="s">
        <v>14</v>
      </c>
      <c r="C8" s="79">
        <v>8.2670687373866295E-6</v>
      </c>
    </row>
    <row r="9" spans="1:8" ht="15.75" customHeight="1" x14ac:dyDescent="0.25">
      <c r="B9" s="24" t="s">
        <v>27</v>
      </c>
      <c r="C9" s="79">
        <v>0.21798842439149074</v>
      </c>
    </row>
    <row r="10" spans="1:8" ht="15.75" customHeight="1" x14ac:dyDescent="0.25">
      <c r="B10" s="24" t="s">
        <v>15</v>
      </c>
      <c r="C10" s="79">
        <v>0.15702866282700723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1.8271513920866501E-2</v>
      </c>
      <c r="D14" s="79">
        <v>1.8271513920866501E-2</v>
      </c>
      <c r="E14" s="79">
        <v>1.1893026261105399E-2</v>
      </c>
      <c r="F14" s="79">
        <v>1.1893026261105399E-2</v>
      </c>
    </row>
    <row r="15" spans="1:8" ht="15.75" customHeight="1" x14ac:dyDescent="0.25">
      <c r="B15" s="24" t="s">
        <v>16</v>
      </c>
      <c r="C15" s="79">
        <v>0.103606149224688</v>
      </c>
      <c r="D15" s="79">
        <v>0.103606149224688</v>
      </c>
      <c r="E15" s="79">
        <v>5.0513322232889901E-2</v>
      </c>
      <c r="F15" s="79">
        <v>5.0513322232889901E-2</v>
      </c>
    </row>
    <row r="16" spans="1:8" ht="15.75" customHeight="1" x14ac:dyDescent="0.25">
      <c r="B16" s="24" t="s">
        <v>17</v>
      </c>
      <c r="C16" s="79">
        <v>1.8837920970046999E-2</v>
      </c>
      <c r="D16" s="79">
        <v>1.8837920970046999E-2</v>
      </c>
      <c r="E16" s="79">
        <v>1.8771162195055702E-2</v>
      </c>
      <c r="F16" s="79">
        <v>1.8771162195055702E-2</v>
      </c>
    </row>
    <row r="17" spans="1:8" ht="15.75" customHeight="1" x14ac:dyDescent="0.25">
      <c r="B17" s="24" t="s">
        <v>18</v>
      </c>
      <c r="C17" s="79">
        <v>1.0670227429799199E-3</v>
      </c>
      <c r="D17" s="79">
        <v>1.0670227429799199E-3</v>
      </c>
      <c r="E17" s="79">
        <v>6.3798066631240487E-3</v>
      </c>
      <c r="F17" s="79">
        <v>6.3798066631240487E-3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3.6159878737022602E-2</v>
      </c>
      <c r="D19" s="79">
        <v>3.6159878737022602E-2</v>
      </c>
      <c r="E19" s="79">
        <v>8.7868604510684289E-2</v>
      </c>
      <c r="F19" s="79">
        <v>8.7868604510684289E-2</v>
      </c>
    </row>
    <row r="20" spans="1:8" ht="15.75" customHeight="1" x14ac:dyDescent="0.25">
      <c r="B20" s="24" t="s">
        <v>21</v>
      </c>
      <c r="C20" s="79">
        <v>6.41732414499288E-3</v>
      </c>
      <c r="D20" s="79">
        <v>6.41732414499288E-3</v>
      </c>
      <c r="E20" s="79">
        <v>6.6707408603774804E-2</v>
      </c>
      <c r="F20" s="79">
        <v>6.6707408603774804E-2</v>
      </c>
    </row>
    <row r="21" spans="1:8" ht="15.75" customHeight="1" x14ac:dyDescent="0.25">
      <c r="B21" s="24" t="s">
        <v>22</v>
      </c>
      <c r="C21" s="79">
        <v>4.8915825358088097E-2</v>
      </c>
      <c r="D21" s="79">
        <v>4.8915825358088097E-2</v>
      </c>
      <c r="E21" s="79">
        <v>0.20643279459085101</v>
      </c>
      <c r="F21" s="79">
        <v>0.20643279459085101</v>
      </c>
    </row>
    <row r="22" spans="1:8" ht="15.75" customHeight="1" x14ac:dyDescent="0.25">
      <c r="B22" s="24" t="s">
        <v>23</v>
      </c>
      <c r="C22" s="79">
        <v>0.7667243649013149</v>
      </c>
      <c r="D22" s="79">
        <v>0.7667243649013149</v>
      </c>
      <c r="E22" s="79">
        <v>0.55143387494251483</v>
      </c>
      <c r="F22" s="79">
        <v>0.55143387494251483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7.6399999999999996E-2</v>
      </c>
    </row>
    <row r="27" spans="1:8" ht="15.75" customHeight="1" x14ac:dyDescent="0.25">
      <c r="B27" s="24" t="s">
        <v>39</v>
      </c>
      <c r="C27" s="79">
        <v>4.6900000000000004E-2</v>
      </c>
    </row>
    <row r="28" spans="1:8" ht="15.75" customHeight="1" x14ac:dyDescent="0.25">
      <c r="B28" s="24" t="s">
        <v>40</v>
      </c>
      <c r="C28" s="79">
        <v>8.1000000000000003E-2</v>
      </c>
    </row>
    <row r="29" spans="1:8" ht="15.75" customHeight="1" x14ac:dyDescent="0.25">
      <c r="B29" s="24" t="s">
        <v>41</v>
      </c>
      <c r="C29" s="79">
        <v>0.1757</v>
      </c>
    </row>
    <row r="30" spans="1:8" ht="15.75" customHeight="1" x14ac:dyDescent="0.25">
      <c r="B30" s="24" t="s">
        <v>42</v>
      </c>
      <c r="C30" s="79">
        <v>0.10300000000000001</v>
      </c>
    </row>
    <row r="31" spans="1:8" ht="15.75" customHeight="1" x14ac:dyDescent="0.25">
      <c r="B31" s="24" t="s">
        <v>43</v>
      </c>
      <c r="C31" s="79">
        <v>3.8199999999999998E-2</v>
      </c>
    </row>
    <row r="32" spans="1:8" ht="15.75" customHeight="1" x14ac:dyDescent="0.25">
      <c r="B32" s="24" t="s">
        <v>44</v>
      </c>
      <c r="C32" s="79">
        <v>0.1772</v>
      </c>
    </row>
    <row r="33" spans="2:3" ht="15.75" customHeight="1" x14ac:dyDescent="0.25">
      <c r="B33" s="24" t="s">
        <v>45</v>
      </c>
      <c r="C33" s="79">
        <v>0.16260000000000002</v>
      </c>
    </row>
    <row r="34" spans="2:3" ht="15.75" customHeight="1" x14ac:dyDescent="0.25">
      <c r="B34" s="24" t="s">
        <v>46</v>
      </c>
      <c r="C34" s="79">
        <v>0.13899999999999987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0.81760470441725686</v>
      </c>
      <c r="D2" s="80">
        <v>0.81760470441725686</v>
      </c>
      <c r="E2" s="80">
        <v>0.81518331480815864</v>
      </c>
      <c r="F2" s="80">
        <v>0.76076288115536783</v>
      </c>
      <c r="G2" s="80">
        <v>0.79965937286176958</v>
      </c>
    </row>
    <row r="3" spans="1:15" ht="15.75" customHeight="1" x14ac:dyDescent="0.25">
      <c r="A3" s="5"/>
      <c r="B3" s="11" t="s">
        <v>118</v>
      </c>
      <c r="C3" s="80">
        <v>9.3954574835234894E-2</v>
      </c>
      <c r="D3" s="80">
        <v>9.3954574835234894E-2</v>
      </c>
      <c r="E3" s="80">
        <v>6.1595905723402782E-2</v>
      </c>
      <c r="F3" s="80">
        <v>0.11601633937619359</v>
      </c>
      <c r="G3" s="80">
        <v>7.7119847669791797E-2</v>
      </c>
    </row>
    <row r="4" spans="1:15" ht="15.75" customHeight="1" x14ac:dyDescent="0.25">
      <c r="A4" s="5"/>
      <c r="B4" s="11" t="s">
        <v>116</v>
      </c>
      <c r="C4" s="81">
        <v>7.2541265332225907E-2</v>
      </c>
      <c r="D4" s="81">
        <v>7.2541265332225907E-2</v>
      </c>
      <c r="E4" s="81">
        <v>7.2541265332225907E-2</v>
      </c>
      <c r="F4" s="81">
        <v>7.2541265332225907E-2</v>
      </c>
      <c r="G4" s="81">
        <v>7.2541265332225907E-2</v>
      </c>
    </row>
    <row r="5" spans="1:15" ht="15.75" customHeight="1" x14ac:dyDescent="0.25">
      <c r="A5" s="5"/>
      <c r="B5" s="11" t="s">
        <v>119</v>
      </c>
      <c r="C5" s="81">
        <v>1.5899455415282392E-2</v>
      </c>
      <c r="D5" s="81">
        <v>1.5899455415282392E-2</v>
      </c>
      <c r="E5" s="81">
        <v>5.0679514136212619E-2</v>
      </c>
      <c r="F5" s="81">
        <v>5.0679514136212619E-2</v>
      </c>
      <c r="G5" s="81">
        <v>5.0679514136212619E-2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0.78538025142857137</v>
      </c>
      <c r="D8" s="80">
        <v>0.78538025142857137</v>
      </c>
      <c r="E8" s="80">
        <v>0.81990598148936178</v>
      </c>
      <c r="F8" s="80">
        <v>0.95983913257653053</v>
      </c>
      <c r="G8" s="80">
        <v>0.89517973704067555</v>
      </c>
    </row>
    <row r="9" spans="1:15" ht="15.75" customHeight="1" x14ac:dyDescent="0.25">
      <c r="B9" s="7" t="s">
        <v>121</v>
      </c>
      <c r="C9" s="80">
        <v>0.1308967085714286</v>
      </c>
      <c r="D9" s="80">
        <v>0.1308967085714286</v>
      </c>
      <c r="E9" s="80">
        <v>0.10866223851063832</v>
      </c>
      <c r="F9" s="80">
        <v>2.9269542423469384E-2</v>
      </c>
      <c r="G9" s="80">
        <v>7.2014459292657707E-2</v>
      </c>
    </row>
    <row r="10" spans="1:15" ht="15.75" customHeight="1" x14ac:dyDescent="0.25">
      <c r="B10" s="7" t="s">
        <v>122</v>
      </c>
      <c r="C10" s="81">
        <v>7.8554261699999989E-2</v>
      </c>
      <c r="D10" s="81">
        <v>7.8554261699999989E-2</v>
      </c>
      <c r="E10" s="81">
        <v>5.9115167999999996E-2</v>
      </c>
      <c r="F10" s="81">
        <v>3.5218848000000001E-3</v>
      </c>
      <c r="G10" s="81">
        <v>1.9714590666666667E-2</v>
      </c>
    </row>
    <row r="11" spans="1:15" ht="15.75" customHeight="1" x14ac:dyDescent="0.25">
      <c r="B11" s="7" t="s">
        <v>123</v>
      </c>
      <c r="C11" s="81">
        <v>5.1687782999999994E-3</v>
      </c>
      <c r="D11" s="81">
        <v>5.1687782999999994E-3</v>
      </c>
      <c r="E11" s="81">
        <v>1.2316611999999999E-2</v>
      </c>
      <c r="F11" s="81">
        <v>7.3694402000000006E-3</v>
      </c>
      <c r="G11" s="81">
        <v>1.3091213000000001E-2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0.40326360550000007</v>
      </c>
      <c r="D14" s="82">
        <v>0.41716673795999992</v>
      </c>
      <c r="E14" s="82">
        <v>0.41716673795999992</v>
      </c>
      <c r="F14" s="82">
        <v>0.180481621654</v>
      </c>
      <c r="G14" s="82">
        <v>0.180481621654</v>
      </c>
      <c r="H14" s="83">
        <v>0.28399999999999997</v>
      </c>
      <c r="I14" s="83">
        <v>0.28399999999999997</v>
      </c>
      <c r="J14" s="83">
        <v>0.28399999999999997</v>
      </c>
      <c r="K14" s="83">
        <v>0.28399999999999997</v>
      </c>
      <c r="L14" s="83">
        <v>0.12694196880600001</v>
      </c>
      <c r="M14" s="83">
        <v>0.12473427847849999</v>
      </c>
      <c r="N14" s="83">
        <v>0.145642264031</v>
      </c>
      <c r="O14" s="83">
        <v>0.15236209121050001</v>
      </c>
    </row>
    <row r="15" spans="1:15" ht="15.75" customHeight="1" x14ac:dyDescent="0.25">
      <c r="B15" s="16" t="s">
        <v>68</v>
      </c>
      <c r="C15" s="80">
        <f>iron_deficiency_anaemia*C14</f>
        <v>0.22331109730173154</v>
      </c>
      <c r="D15" s="80">
        <f t="shared" ref="D15:O15" si="0">iron_deficiency_anaemia*D14</f>
        <v>0.23101009052410379</v>
      </c>
      <c r="E15" s="80">
        <f t="shared" si="0"/>
        <v>0.23101009052410379</v>
      </c>
      <c r="F15" s="80">
        <f t="shared" si="0"/>
        <v>9.9943432595111015E-2</v>
      </c>
      <c r="G15" s="80">
        <f t="shared" si="0"/>
        <v>9.9943432595111015E-2</v>
      </c>
      <c r="H15" s="80">
        <f t="shared" si="0"/>
        <v>0.15726772951667156</v>
      </c>
      <c r="I15" s="80">
        <f t="shared" si="0"/>
        <v>0.15726772951667156</v>
      </c>
      <c r="J15" s="80">
        <f t="shared" si="0"/>
        <v>0.15726772951667156</v>
      </c>
      <c r="K15" s="80">
        <f t="shared" si="0"/>
        <v>0.15726772951667156</v>
      </c>
      <c r="L15" s="80">
        <f t="shared" si="0"/>
        <v>7.029533526230905E-2</v>
      </c>
      <c r="M15" s="80">
        <f t="shared" si="0"/>
        <v>6.907280552540114E-2</v>
      </c>
      <c r="N15" s="80">
        <f t="shared" si="0"/>
        <v>8.0650803471207649E-2</v>
      </c>
      <c r="O15" s="80">
        <f t="shared" si="0"/>
        <v>8.4371972355941405E-2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0.22899999999999998</v>
      </c>
      <c r="D2" s="81">
        <v>0.124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0.32</v>
      </c>
      <c r="D3" s="81">
        <v>0.35100000000000003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0.44</v>
      </c>
      <c r="D4" s="81">
        <v>0.23899999999999999</v>
      </c>
      <c r="E4" s="81">
        <v>0.56100000000000005</v>
      </c>
      <c r="F4" s="81">
        <v>0.14599999999999999</v>
      </c>
      <c r="G4" s="81">
        <v>0</v>
      </c>
    </row>
    <row r="5" spans="1:7" x14ac:dyDescent="0.25">
      <c r="B5" s="43" t="s">
        <v>169</v>
      </c>
      <c r="C5" s="80">
        <f>1-SUM(C2:C4)</f>
        <v>1.1000000000000121E-2</v>
      </c>
      <c r="D5" s="80">
        <f>1-SUM(D2:D4)</f>
        <v>0.28600000000000003</v>
      </c>
      <c r="E5" s="80">
        <f>1-SUM(E2:E4)</f>
        <v>0.43899999999999995</v>
      </c>
      <c r="F5" s="80">
        <f>1-SUM(F2:F4)</f>
        <v>0.85399999999999998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8.3469999999999989E-2</v>
      </c>
      <c r="D2" s="144">
        <v>8.1979999999999997E-2</v>
      </c>
      <c r="E2" s="144">
        <v>8.0530000000000004E-2</v>
      </c>
      <c r="F2" s="144">
        <v>7.9130000000000006E-2</v>
      </c>
      <c r="G2" s="144">
        <v>7.7770000000000006E-2</v>
      </c>
      <c r="H2" s="144">
        <v>7.6429999999999998E-2</v>
      </c>
      <c r="I2" s="144">
        <v>7.5139999999999998E-2</v>
      </c>
      <c r="J2" s="144">
        <v>7.3880000000000001E-2</v>
      </c>
      <c r="K2" s="144">
        <v>7.2669999999999998E-2</v>
      </c>
      <c r="L2" s="144">
        <v>7.1500000000000008E-2</v>
      </c>
      <c r="M2" s="144">
        <v>7.0370000000000002E-2</v>
      </c>
      <c r="N2" s="144">
        <v>6.9279999999999994E-2</v>
      </c>
      <c r="O2" s="144">
        <v>6.8220000000000003E-2</v>
      </c>
      <c r="P2" s="144">
        <v>6.7199999999999996E-2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3.1300000000000001E-2</v>
      </c>
      <c r="D4" s="144">
        <v>3.0929999999999999E-2</v>
      </c>
      <c r="E4" s="144">
        <v>3.057E-2</v>
      </c>
      <c r="F4" s="144">
        <v>3.023E-2</v>
      </c>
      <c r="G4" s="144">
        <v>2.989E-2</v>
      </c>
      <c r="H4" s="144">
        <v>2.955E-2</v>
      </c>
      <c r="I4" s="144">
        <v>2.9220000000000003E-2</v>
      </c>
      <c r="J4" s="144">
        <v>2.8900000000000002E-2</v>
      </c>
      <c r="K4" s="144">
        <v>2.8590000000000001E-2</v>
      </c>
      <c r="L4" s="144">
        <v>2.8300000000000002E-2</v>
      </c>
      <c r="M4" s="144">
        <v>2.8029999999999999E-2</v>
      </c>
      <c r="N4" s="144">
        <v>2.7759999999999996E-2</v>
      </c>
      <c r="O4" s="144">
        <v>2.751E-2</v>
      </c>
      <c r="P4" s="144">
        <v>2.7269999999999999E-2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0.12602844762720336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0.15726772951667156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7.6926642566772771E-2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0.14149999999999999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0.28433333333333333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5.0030000000000001</v>
      </c>
      <c r="D13" s="143">
        <v>4.891</v>
      </c>
      <c r="E13" s="143">
        <v>4.7759999999999998</v>
      </c>
      <c r="F13" s="143">
        <v>4.6689999999999996</v>
      </c>
      <c r="G13" s="143">
        <v>4.5640000000000001</v>
      </c>
      <c r="H13" s="143">
        <v>4.4560000000000004</v>
      </c>
      <c r="I13" s="143">
        <v>4.3559999999999999</v>
      </c>
      <c r="J13" s="143">
        <v>4.2610000000000001</v>
      </c>
      <c r="K13" s="143">
        <v>4.1219999999999999</v>
      </c>
      <c r="L13" s="143">
        <v>4.0209999999999999</v>
      </c>
      <c r="M13" s="143">
        <v>3.9590000000000001</v>
      </c>
      <c r="N13" s="143">
        <v>3.8340000000000001</v>
      </c>
      <c r="O13" s="143">
        <v>3.7509999999999999</v>
      </c>
      <c r="P13" s="143">
        <v>3.6509999999999998</v>
      </c>
    </row>
    <row r="14" spans="1:16" x14ac:dyDescent="0.25">
      <c r="B14" s="16" t="s">
        <v>170</v>
      </c>
      <c r="C14" s="143">
        <f>maternal_mortality</f>
        <v>0.17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0.24299999999999999</v>
      </c>
      <c r="E2" s="92">
        <f>food_insecure</f>
        <v>0.24299999999999999</v>
      </c>
      <c r="F2" s="92">
        <f>food_insecure</f>
        <v>0.24299999999999999</v>
      </c>
      <c r="G2" s="92">
        <f>food_insecure</f>
        <v>0.24299999999999999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0.24299999999999999</v>
      </c>
      <c r="F5" s="92">
        <f>food_insecure</f>
        <v>0.24299999999999999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5.3176922595961532E-2</v>
      </c>
      <c r="D7" s="92">
        <f>diarrhoea_1_5mo/26</f>
        <v>5.2533269424230762E-2</v>
      </c>
      <c r="E7" s="92">
        <f>diarrhoea_6_11mo/26</f>
        <v>5.2533269424230762E-2</v>
      </c>
      <c r="F7" s="92">
        <f>diarrhoea_12_23mo/26</f>
        <v>4.9680770680384616E-2</v>
      </c>
      <c r="G7" s="92">
        <f>diarrhoea_24_59mo/26</f>
        <v>4.9680770680384616E-2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0.24299999999999999</v>
      </c>
      <c r="F8" s="92">
        <f>food_insecure</f>
        <v>0.24299999999999999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0.89700000000000002</v>
      </c>
      <c r="E9" s="92">
        <f>IF(ISBLANK(comm_deliv), frac_children_health_facility,1)</f>
        <v>0.89700000000000002</v>
      </c>
      <c r="F9" s="92">
        <f>IF(ISBLANK(comm_deliv), frac_children_health_facility,1)</f>
        <v>0.89700000000000002</v>
      </c>
      <c r="G9" s="92">
        <f>IF(ISBLANK(comm_deliv), frac_children_health_facility,1)</f>
        <v>0.89700000000000002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5.3176922595961532E-2</v>
      </c>
      <c r="D11" s="92">
        <f>diarrhoea_1_5mo/26</f>
        <v>5.2533269424230762E-2</v>
      </c>
      <c r="E11" s="92">
        <f>diarrhoea_6_11mo/26</f>
        <v>5.2533269424230762E-2</v>
      </c>
      <c r="F11" s="92">
        <f>diarrhoea_12_23mo/26</f>
        <v>4.9680770680384616E-2</v>
      </c>
      <c r="G11" s="92">
        <f>diarrhoea_24_59mo/26</f>
        <v>4.9680770680384616E-2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0.24299999999999999</v>
      </c>
      <c r="I14" s="92">
        <f>food_insecure</f>
        <v>0.24299999999999999</v>
      </c>
      <c r="J14" s="92">
        <f>food_insecure</f>
        <v>0.24299999999999999</v>
      </c>
      <c r="K14" s="92">
        <f>food_insecure</f>
        <v>0.24299999999999999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0.93900000000000006</v>
      </c>
      <c r="I17" s="92">
        <f>frac_PW_health_facility</f>
        <v>0.93900000000000006</v>
      </c>
      <c r="J17" s="92">
        <f>frac_PW_health_facility</f>
        <v>0.93900000000000006</v>
      </c>
      <c r="K17" s="92">
        <f>frac_PW_health_facility</f>
        <v>0.93900000000000006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0.74900000000000011</v>
      </c>
      <c r="M23" s="92">
        <f>famplan_unmet_need</f>
        <v>0.74900000000000011</v>
      </c>
      <c r="N23" s="92">
        <f>famplan_unmet_need</f>
        <v>0.74900000000000011</v>
      </c>
      <c r="O23" s="92">
        <f>famplan_unmet_need</f>
        <v>0.74900000000000011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3.8261592727661282E-2</v>
      </c>
      <c r="M24" s="92">
        <f>(1-food_insecure)*(0.49)+food_insecure*(0.7)</f>
        <v>0.5410299999999999</v>
      </c>
      <c r="N24" s="92">
        <f>(1-food_insecure)*(0.49)+food_insecure*(0.7)</f>
        <v>0.5410299999999999</v>
      </c>
      <c r="O24" s="92">
        <f>(1-food_insecure)*(0.49)+food_insecure*(0.7)</f>
        <v>0.5410299999999999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1.6397825454711981E-2</v>
      </c>
      <c r="M25" s="92">
        <f>(1-food_insecure)*(0.21)+food_insecure*(0.3)</f>
        <v>0.23186999999999999</v>
      </c>
      <c r="N25" s="92">
        <f>(1-food_insecure)*(0.21)+food_insecure*(0.3)</f>
        <v>0.23186999999999999</v>
      </c>
      <c r="O25" s="92">
        <f>(1-food_insecure)*(0.21)+food_insecure*(0.3)</f>
        <v>0.23186999999999999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1.6060491485595768E-2</v>
      </c>
      <c r="M26" s="92">
        <f>(1-food_insecure)*(0.3)</f>
        <v>0.2271</v>
      </c>
      <c r="N26" s="92">
        <f>(1-food_insecure)*(0.3)</f>
        <v>0.2271</v>
      </c>
      <c r="O26" s="92">
        <f>(1-food_insecure)*(0.3)</f>
        <v>0.2271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0.92928009033203085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2020-03-24T06:50:29Z</dcterms:modified>
</cp:coreProperties>
</file>