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319EE1A5-18D7-46E1-B1BA-7DD82AE6BD84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5" i="2"/>
  <c r="G6" i="2"/>
  <c r="G7" i="2"/>
  <c r="I7" i="2" s="1"/>
  <c r="G8" i="2"/>
  <c r="G9" i="2"/>
  <c r="G10" i="2"/>
  <c r="G11" i="2"/>
  <c r="G12" i="2"/>
  <c r="G13" i="2"/>
  <c r="G14" i="2"/>
  <c r="G15" i="2"/>
  <c r="G2" i="2"/>
  <c r="I38" i="2"/>
  <c r="I18" i="2"/>
  <c r="I27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3" i="2"/>
  <c r="I12" i="2"/>
  <c r="I11" i="2"/>
  <c r="I10" i="2"/>
  <c r="I9" i="2"/>
  <c r="I8" i="2"/>
  <c r="I6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1BE808F9-57AE-4DE6-B42C-726D3DE615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0A02E85-8C01-4E2B-80BF-FF9C8C570A2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AB76310D-1EA0-4D96-B49D-E4502059647C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0D4F7D1A-2F4E-40F4-8CAB-627E9F675A98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16EE92C8-247E-4FEC-8788-E324C8BEECF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D9EED328-4ED6-40BA-85B9-D7E100916749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6115ABA4-7CF5-4181-B4AF-609AF8C6A7B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A1A08BF9-A289-4068-959D-3E0764F03F1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51DC752D-8758-403A-8F24-2C297882A43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D61E12A6-D790-4A71-893E-1BAF5724C96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F0E8F3C5-52C1-4630-8F57-73FA693C130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25401625-4F0C-437E-BCBA-DBD80D496F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FEBC9DF-D99B-44C7-8AE7-1CE371281B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21A5B0E-A481-4DF7-867E-769E42E97A8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5D8707E4-DC60-4271-87BE-9115E35D95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EB89AA5-E485-44F3-B0A5-1D9E84F4912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434D0F5F-DCDE-4718-889F-F8CE06C06C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932C5EF-4282-4BF4-9C55-DA48620349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F09A5F6-1E7E-480D-A140-D95CA5D70FA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9094037-77D7-4116-9F56-BF30A40689B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21E9EE95-BFEE-49C7-806E-9457F4595BA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BB93661C-F0D0-451E-81C8-ACB050C3614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CE8C32DF-F83F-4EC5-A517-90868EBB71CF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FFC218D9-C87D-43A0-B2A1-6FEC2A812E6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43CEA020-D43B-4F26-A706-2A705799014A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EA5D3ACF-BFEB-40CC-BA5E-DF821BD4E0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DEB3DA35-A237-4B75-B872-911668D5528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F6AF27F-F589-4A09-86A0-027A76E7CA02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3FE19551-ABC6-4BF2-B6C8-CF9524BB02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F824BA40-A154-49E3-825C-484E58B773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DE041FD6-97B9-4B43-A435-67BC08FC89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D557E6B9-A946-4C84-8A5D-36818B9371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9CC22102-9C12-47B9-AD8E-B721289262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331C4FF2-BFF9-4679-BF4A-6C7A241D30CC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1AD51432-600D-4339-8A51-22FB36F9837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EBE3086-F879-4289-B3B3-1960E033C4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2FF6F0BE-C86D-4A3E-B509-86A4DABD71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54897F0-0CA8-45D7-807F-497F80FB77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DEAE989-0B33-45B3-9FB0-709CD3AC3A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F2D14AF0-323F-431E-B9E2-E99A3C2401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9049C21A-E209-4F28-9812-E958573720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5DF76CEE-9B78-4138-8E2C-6D223EA442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CF9C635-1D16-4A14-A042-14A9F7DF1F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A741F137-1AB3-426A-8C8E-075BDE6E41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EED53A63-7F81-4E42-8C6D-7456AF7365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9E3DD841-76E4-463F-A52A-20149ED551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5D1E66F-EB6B-4032-9B82-0B9B60A40D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5B8A2666-19A4-4CB4-8A98-61D1FAF0F3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94A28F08-C82E-43F5-B81F-9ABAFAFF0F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2B85EA92-FC1D-4A7D-A8BB-F9164488D4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76BA4C5-C987-475D-A0E9-00C9AED427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BDF5DC3B-F2F9-4DCB-8CD8-E2C83C6DF5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BE67EA78-1240-405C-B4FA-577C4E675C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4FB47E2A-D29B-4980-9982-76CA236551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CF3664ED-553C-4C67-9F3E-4DD7F350F4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BE6B86BC-D654-482A-AA02-ED30026BBC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D93AA3B1-4706-440C-AEBE-1C401CC502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3C3F51A8-63B7-4703-8EF6-1D9AAF5DC5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112FDE8E-AD8E-4BD0-B77B-D843E65E71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128DA00A-9A3A-42DA-BCE3-F2E6135CB5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E6CF2524-610E-4ADC-8D24-5A82E12392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7DCEA8DD-E31A-49E2-87D3-26F4B06FC1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A1B857E1-03F4-46A9-84FB-ADD82F3106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5196E2A3-69C6-4011-9D4A-D5E4FD415C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4F19290A-09C4-4AAD-AB89-932951F9B2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3CF3B9AA-0CD8-475B-A974-F29DFA88B1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0AEA64C-5BFF-438B-AF89-BE8E553EEE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C00A9A18-1F08-4FA1-AB8A-EE423E2634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423AC17C-91F9-4A0A-9113-FB86DC1710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C98976E0-8639-423C-9D22-93EC32BC72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7F136899-D369-4ADE-8D3C-D86EE51B1F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F9006122-FAFE-4401-99F9-3DFD3C7347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A766573D-4B2C-4EDD-B2AF-D0BD8DFAB2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D1A46797-1F74-4B6B-A58C-DCC77B74D7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36FC8655-08B5-4C94-ADEF-B857B031F2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273DCD51-4B0B-41AC-BF1F-200600930B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B6353F28-0F45-46D7-B9A0-F8D5BEA26C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2AF12ECA-E0BB-4A46-B97D-C9E0703C34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CC20004F-8C47-4D0E-8665-8FA26D6A9F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961FFA06-5122-4AE7-AF8B-0D1C086318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03C09A79-6BE4-484E-A94E-007C2C906C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620CB697-8F0B-4084-94B8-C5D10D6D5D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0E17FF39-34AA-4EC0-9F78-2C9D23B614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A0380607-429B-4417-BA54-F022245899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66169331-ABBE-4ACF-8F9F-BDF7FB6757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593FCE6F-BF43-4A9F-B094-A06896B818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4C702B6-BD7F-45C7-931D-C6D88EACD9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26285E4C-B09A-4FC7-8B5F-CE66A7BD85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DD8CE700-5D0B-48E8-9041-0B8882DDDC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EB44D6E2-6775-45B7-B264-E21707C80A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CA47B1E-B449-4D29-98D6-6169C62109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F97B6BE4-62C3-4E54-87B3-172F5E1F91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53CFF335-A08C-4460-8602-C882BE3019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E9602021-838F-427E-A08E-AD26C588F0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6E87DCC-939F-49EC-A77A-256E0D977B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5572805F-A3D9-40A0-BF85-7E71B442B9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EC047F4F-4321-4661-B3BE-83C03F4A6C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F90999A8-E50F-49B3-A7A6-81DE8FEB4B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49E79F65-89D3-42C6-9F77-736AC82284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167E90C6-6A5F-4C34-B5CE-16F6090655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39053EB3-7F8D-4379-A1AC-93BF5F169C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C17DF2AE-B890-4B5B-9F46-612CE17537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5326819D-6A1C-4621-8B6F-948D153728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B0A5458-A768-4429-9510-6C9A1918E7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B3FA1E18-2059-4115-A96F-D8A212FBFF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79C06C58-3FDC-4EB2-9DB9-E4CBAD76BC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4C63738-17D7-410E-85B1-0DF258D974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35D6CC66-F37B-4EDA-8B62-8D09CE83ED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6C4D0B8E-9533-47DC-9400-BFC82CE1EF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A09A57B1-3393-46F8-A154-2134AF9896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BA112C84-CE7E-4445-9D84-5FFCB2813C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68A3E6AC-6AF2-4AC5-A120-E0B1E786CC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396DB186-C9A5-4E51-8BB9-79BE715D24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B97C258E-46C8-43E1-8234-8BC3AFE5465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BCD9306F-9345-4398-B118-34493072ED3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7E6011F-2B33-4840-A3A5-DA45CD5919E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BF34214-E7C7-45DC-A582-A361CA4CC0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32EF66F-A442-4DF2-BDE4-F202CA0966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8CE2E5BE-00A6-4F61-B9BB-27D11C85D8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F1BB5C45-D924-4165-BD51-35F92A14844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7CD7BAF1-D0ED-4B24-AABE-BADC6CFF599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C25B4EC0-5BC0-4BED-8888-7F36FF7D741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7D19C15-DFB3-46E1-9B9A-66BB1E63899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AA1A0136-50C7-48D6-9AFF-3AAD088761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B4845B62-0097-4718-AF5A-B1AC1676F66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BA83A4FC-5196-4238-983A-4AE9EDD39C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A732935D-15EE-4F83-8BD7-245BE6AB72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20B95CCD-2B68-4C90-B5C0-AE70517ACEC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037D3560-D41D-4861-9ECB-D035D60A956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2D3EF3D-3154-4070-B0C6-058D18EE74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143E4264-BC7A-4E4F-AFE2-1442ADF622B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0E53899D-89A4-4F24-BBB6-7C7C18BC29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63073FF2-DB4F-4753-A08D-6E63DE7367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B2C4769-5B64-4316-A1D0-CC9F31D49D6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0A90EBFA-2F66-4A3D-BF69-DEADBF746D4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B2C9743B-611C-4D82-8E60-0DBFBD176F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C043044-8292-4E9D-ABEF-EEF2069D289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4408FACA-C41A-4281-803F-E55EF6BF438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211EEDA1-4DBB-437F-A3F2-C85F029F983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DAD6EC56-64FF-4726-98D2-645EDE597E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C26218B9-B5AE-4C28-920F-E29B2AC8F4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15624B13-F1C9-441F-BCC4-DB1983A5725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28365E4-43A3-448A-B05A-7AA85FB4D53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BD5852AF-0637-4CD4-9626-CFFEC5F145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3472CFA3-3FBA-4968-8787-4968C357DD5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7A4EC4B-859A-459C-B1C3-0C0A142E27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A24130AB-3813-47B6-9304-7C120A8709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CF39D64A-487D-43B5-B1C4-6F01BA2840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C79BCE46-AE88-47F8-B83C-94DE347D921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36257F16-4BBC-47F9-81AD-114B36C4122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4606753E-A08E-4DB2-9F31-F0E1A0FDDB1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E6ECB504-0906-422A-96AE-E6B281FC5D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6FED404-0691-44DA-ABB2-905617687D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17A833C-5B42-4A3E-827A-19D2CA96F0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28F9A40-3839-46FB-A28A-C95B0DA6523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C6136B9-04FA-4875-9B62-040392539B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451FA143-3DB1-4C8D-A71B-4899B3C4C2A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2516725E-E6FF-4C7D-A4F8-5D4AF631E39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7C5A70D-4C61-4ADA-B9CC-4E13D4EA77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5A41C18C-1C96-4C12-A31C-ED6E639DF9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9A07966C-9119-43B5-A270-54E5F0D4C0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5BD44A80-48FC-40EE-B2CF-725D5E052A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56C5F27B-7C9D-4783-9FB1-A66244C8F8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F2D20D13-6D8F-4CAB-BCFC-EC0B85F447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72A13EC7-D79D-428A-8ABB-8FF91BBF91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7F9A20B3-A311-4E30-A5AB-0F83159B5D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30BBFF6A-66E8-4E33-8955-54FE2B2BCF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4CFBAD5B-1A31-42C1-855B-A182E58732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518588D0-3889-4ECC-9E07-EE97A86934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ADC31F7D-476B-4026-9B0B-A235A5EFA9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7A4A5D17-FCFF-4532-8CDB-FB5F1B6393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BCEFE64A-F9E2-4676-95D6-3D204873D5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16A19EDD-9F5B-4676-9A1B-D24E0D82E8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00E632F-7F9B-45D4-A7F1-300BF9C2A9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B7EDDC9E-3251-4376-AA60-928973757F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81F8BD14-68A4-4750-A267-CE577CAE0F6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222D7499-2DC8-41EC-B326-63DA09D89E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87B3D6A6-3818-4740-8AE4-9F52252657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31B8D3B6-D21D-4254-A26C-F0829AE08A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B61637C7-989F-4608-99DF-2C5A0AFD3A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30BE0C64-9A3B-4F28-AC7D-C2481DEB0A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31C2E7A5-3A35-4958-B161-B9A87B730B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78D75651-1C89-40CE-8278-F0AA31B02A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DF13846B-CA45-479A-BE5C-9EAB5210D0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4740C747-911A-404D-8312-15EE9E7169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D9B5D399-16B4-4D81-B7A2-A6243A9303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32762D12-046D-4B6B-BCE1-F3B1574DD5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36AD1ECD-0052-4539-881D-9FA8781DB8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15C4D3D-2A26-4359-8C24-45E2638BB4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2FB2E4E6-7089-42A7-85F7-02D64ABC11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881C1B45-1C18-4AB2-A94A-CF8128B00F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3EFC98BB-25B3-40EC-B3F5-25294860DC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B40D3A37-E143-47E1-ABC9-EE9DD4AF06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FA26F7C1-F2A0-4B9C-868E-FE6DF32ABD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C0379066-2CE0-43F2-A08E-5A7856CE09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F48F0438-2243-49FB-A474-22EF31E809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267F3E2C-C105-4BC9-9A95-570B5A0DA4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D0AC820-6B3D-4144-861C-78CFCF7716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1CB34537-D2AF-4BAA-9793-BADC9CC9EE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9A86D487-7C29-433B-A3AF-FDF955214BB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AEF348B-4D99-41EE-A3E1-CBFED4BEFD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B9823BFE-056E-4F55-8BD2-939FB0B1F38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FE875123-1FF7-48AB-8F76-34171855854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DD7976AD-1CFA-4761-B829-DB82C41970B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F2C453B1-6C04-48AB-8346-75E991BC0CD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4993E450-40FC-48FC-8735-0ADD592BF1A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39D0D05B-C753-4F48-9B0A-892D3B99317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0E6E6F0D-716C-4344-96E7-6A2728D134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4F019E26-D215-4821-AC7C-289BEA6D2C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976A871C-2E4F-47DA-B562-0AA949FC25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7076E065-E13D-43A7-BCF5-AB8062198B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A4F2C7AB-D679-4234-99E1-B1CF53915E5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824733C7-36E9-42C4-8163-5C2E0C6565C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F63B76FB-E00D-4C86-8F78-F09666E57A1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E157CD2F-948D-4734-8C8F-6A794168B5A8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E0BBC3E7-3286-4DCA-B071-6AAC0416B34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2024049F-75C3-4063-872A-EE453798553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9DD423A3-D075-4602-9D33-D29914257D0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405261E7-AB14-4AFA-A458-533B60CE1AF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9E98965-BEA2-4833-91FF-D4D03535F1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C7E3AEE1-77BA-46E7-9A87-712BC51C69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73E684B4-11D4-4CB8-8AE2-C53B901E5B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71996486-D7E4-446B-A133-BFD8A742AA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3F86BBB7-1DBF-4A76-9197-D1BB7CFE1B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7D1A1388-0F03-4B29-B38C-7BAD6F1CDD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7A2210B7-2C9A-4668-AD1F-B1FD6FE0E3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F2474283-2529-49CF-8C56-CA65605D1E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140F311A-FE3A-4250-AE2B-42DA631C7C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D96B2F6D-3968-4B98-A0E5-E15FE2F88D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99D65B9F-0690-4208-99D8-B6FFD50D04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1EA51130-F4A5-45C2-8B2C-AC1CC91FF3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B05523A8-032B-459A-B1A8-5EBEAC93B1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DBDA230B-B32C-4B44-9ACC-87B2300126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87D0C25-8F53-49DA-A19E-BEDFCC0157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A106FB93-2F41-4AE5-AAA5-7C8DC8A0B1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624C282-ABAD-4924-9169-C8F6B430CA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937196A-2B37-4E2B-9C46-38CDE89986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AC2D0FD8-535B-4B57-92D9-E5E184AA0D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A12B1DFC-0CFF-4EEC-9929-D2F438BD78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46414DE9-209A-4628-AB95-E00AA21916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3AE25BDF-2EEB-4A3B-AAF9-83EF8199D7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D58E5E98-11F9-4FCF-A384-F300AC4F69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D274B1DB-538E-4260-BFA9-ED0B6F7F4C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0458ABFC-60D8-447E-B36F-16EBE5A51B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448CEE23-F1C8-4B06-9681-C020DFB3A0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A19645F8-CB4D-4468-85BF-E83404FF4E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89A47FEC-2BF0-4142-BC66-7C98A95C9F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4B631FE6-22AE-417A-8B31-8827536DBB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DA8FC769-F6F0-4011-83BF-FBD01632D7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16376708-5985-4362-9BAB-AE1FB9A92D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2590CA0-2C6C-4AC5-A2A8-1C3092A1BE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AFA2144-0189-478D-A063-5B73D21427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451E2959-50C4-47C3-AC80-6733D96747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66EFA3A0-A4A7-40B2-8E45-71C9BF1538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88C6921-EC22-4462-A14C-D411ED61B6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C23A1587-DA33-49F0-B410-6CD284163E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974EB770-781C-41D8-9694-F492AEFD00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AEA92BF6-0245-4F21-ACDA-7CFCD8757A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C3A82486-AF92-4301-813E-FC1C95D266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728D2A9-F229-41CD-B3AF-B589E3CDDE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B133398F-75BC-4BE8-9203-AB558B5FE6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309786A-A65B-40E1-BA52-F49D1D46C05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29223C5-4C35-4044-9A7F-FAE46B0EDD6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B626BCD-520E-4930-BBFF-3BA30D8D1D4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4E87486-2517-47A6-B2EA-EF94E315629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5B979A78-D290-49C8-B465-04223D54DE8D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26EC9263-7555-4032-BE65-7474A7C323F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C801B853-A8EF-4B9D-98BE-5E1D9F75FD4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766EAED6-E385-4DD9-A6B0-E9D45CDA10D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0A87F66-94E6-488E-9111-C49F0961F4A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B7A8FBCB-1B51-4319-A4B2-E80B6BBD038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446B35DE-B003-4784-B46C-9445914717F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700ED266-1E18-4E36-81CC-5FC5A8721F3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460D8253-F11C-46B5-90FD-08A05975DB7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B8962CFB-F414-4364-904B-CE6A96E4949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062995B9-04CC-4A6C-AB75-C149DC47365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DCDD6834-610B-4844-ADE5-DEBC1CC5F38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570B9C6-A044-4FF6-84AE-F23EC42F214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7ACC62A0-BF4F-490B-A767-1B134D757A7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B44DDA5F-98EC-4FC3-9D21-48773C50E64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939FAC40-F5A0-498C-A4E7-5990A1374E5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04EC9951-914D-4DCF-97DC-DD02FA9739F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5EFBEE98-F930-4449-8792-0D2008F2CCB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78693937-8987-421D-8FF4-DD10DAEDA2C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29E6EA9-A93D-4931-BF12-D5EB38E2BD2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AB922AE8-DD3B-4A3C-BB77-552934F744E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E4506E86-534F-4652-A0F1-703ACDBD71C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F0C2C2B-18A1-4CB1-ADAF-A822E53C1075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3CA9982-C898-4AD2-A124-64D7505F438F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6886B9F-1D5B-484C-BC1C-2291C869E0E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3364AA80-105B-4583-9E0C-8C7AEC821A5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FE661AD6-4518-4D47-B4D0-45EF6BD7CC8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FBAD5B2B-DA3D-45EF-86BE-B7849A19D72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0213A70B-9E60-4F6B-AF5D-17766307D99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1074627A-EC55-49AE-BFC4-B5FAE0F6B0C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F89AE2CC-1424-4D28-AFBD-0F4E104AE0A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3ED2604-9BEF-41EC-BE91-818F0D122AD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581815F8-6EB8-486A-BF8C-7592800D3F3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0EFC16C7-1022-497F-A656-15080658B8E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E715A48F-79E2-4619-973A-B8EBC6BBB91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C33C3A4A-3BD6-4892-9A62-282EF3DD96F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FFE8204D-3A4F-488D-BDA5-12BD52D63F2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AACD1BD5-C84F-4122-95E4-324AB4CF78A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F705E225-CE5B-4B57-A0AB-A3009ED65772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FBDDC34A-BCF8-4C14-944E-D5E22409E23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E658F8CF-E777-4406-93F4-BBC02D68FAA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4315FB61-8CB6-43E1-AEA5-123190BE7F2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DEEC8B58-3889-47EF-9A38-12D96946812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4EC982E8-A737-4FB1-895E-C5F4E6FC2C2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B3142373-F392-4497-A2BF-269635E08ED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2A3AA9EC-C394-424B-9E1C-918B4F2B4D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2B05C2FF-2807-4488-8C33-9CB38220D2F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FDA47FAA-2F2C-493D-81E7-AEDEDB2065D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8A8E4F8F-D9C4-4F54-A93B-DFFC0239FD3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A0BC214C-9A96-4241-9E73-DC178E23850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ED2C0D66-A9B1-407E-B70B-F0C9FF74A77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5E25F31-D790-4E92-9B23-71BD1CFB089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02BAD246-0329-4D02-9E54-6640CDFA8F6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F6D3DD8-E6C6-4F8F-94E2-A2AEDA3F429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4DEDD263-DC13-4F1C-936C-7B3FF2B0D51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87715717-E22D-4618-967D-613E9EDAA08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24F263AB-7E7B-4D76-AF72-26832BD1052E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830B7072-5177-4946-AA55-1CC94071DBF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<sst xmlns="http://schemas.openxmlformats.org/spreadsheetml/2006/main" count="1102" uniqueCount="271">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</sst>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82877</v>
      </c>
    </row>
    <row r="8" spans="1:3" ht="15" customHeight="1" x14ac:dyDescent="0.25">
      <c r="B8" s="7" t="s">
        <v>106</v>
      </c>
      <c r="C8" s="70">
        <v>0.127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0.68900000000000006</v>
      </c>
    </row>
    <row r="12" spans="1:3" ht="15" customHeight="1" x14ac:dyDescent="0.25">
      <c r="B12" s="7" t="s">
        <v>109</v>
      </c>
      <c r="C12" s="70">
        <v>0.79</v>
      </c>
    </row>
    <row r="13" spans="1:3" ht="15" customHeight="1" x14ac:dyDescent="0.25">
      <c r="B13" s="7" t="s">
        <v>110</v>
      </c>
      <c r="C13" s="70">
        <v>0.62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7.0400000000000004E-2</v>
      </c>
    </row>
    <row r="24" spans="1:3" ht="15" customHeight="1" x14ac:dyDescent="0.25">
      <c r="B24" s="20" t="s">
        <v>102</v>
      </c>
      <c r="C24" s="71">
        <v>0.48080000000000001</v>
      </c>
    </row>
    <row r="25" spans="1:3" ht="15" customHeight="1" x14ac:dyDescent="0.25">
      <c r="B25" s="20" t="s">
        <v>103</v>
      </c>
      <c r="C25" s="71">
        <v>0.35560000000000003</v>
      </c>
    </row>
    <row r="26" spans="1:3" ht="15" customHeight="1" x14ac:dyDescent="0.25">
      <c r="B26" s="20" t="s">
        <v>104</v>
      </c>
      <c r="C26" s="71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8.5</v>
      </c>
    </row>
    <row r="38" spans="1:5" ht="15" customHeight="1" x14ac:dyDescent="0.25">
      <c r="B38" s="16" t="s">
        <v>91</v>
      </c>
      <c r="C38" s="75">
        <v>17.600000000000001</v>
      </c>
      <c r="D38" s="17"/>
      <c r="E38" s="18"/>
    </row>
    <row r="39" spans="1:5" ht="15" customHeight="1" x14ac:dyDescent="0.25">
      <c r="B39" s="16" t="s">
        <v>90</v>
      </c>
      <c r="C39" s="75">
        <v>20.6</v>
      </c>
      <c r="D39" s="17"/>
      <c r="E39" s="17"/>
    </row>
    <row r="40" spans="1:5" ht="15" customHeight="1" x14ac:dyDescent="0.25">
      <c r="B40" s="16" t="s">
        <v>171</v>
      </c>
      <c r="C40" s="75">
        <v>7.32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2.7200000000000002E-2</v>
      </c>
      <c r="D45" s="17"/>
    </row>
    <row r="46" spans="1:5" ht="15.75" customHeight="1" x14ac:dyDescent="0.25">
      <c r="B46" s="16" t="s">
        <v>11</v>
      </c>
      <c r="C46" s="71">
        <v>9.6799999999999997E-2</v>
      </c>
      <c r="D46" s="17"/>
    </row>
    <row r="47" spans="1:5" ht="15.75" customHeight="1" x14ac:dyDescent="0.25">
      <c r="B47" s="16" t="s">
        <v>12</v>
      </c>
      <c r="C47" s="71">
        <v>0.21280000000000002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4.09709773288</v>
      </c>
      <c r="D51" s="17"/>
    </row>
    <row r="52" spans="1:4" ht="15" customHeight="1" x14ac:dyDescent="0.25">
      <c r="B52" s="16" t="s">
        <v>125</v>
      </c>
      <c r="C52" s="76">
        <v>3.4444662362199998</v>
      </c>
    </row>
    <row r="53" spans="1:4" ht="15.75" customHeight="1" x14ac:dyDescent="0.25">
      <c r="B53" s="16" t="s">
        <v>126</v>
      </c>
      <c r="C53" s="76">
        <v>3.4444662362199998</v>
      </c>
    </row>
    <row r="54" spans="1:4" ht="15.75" customHeight="1" x14ac:dyDescent="0.25">
      <c r="B54" s="16" t="s">
        <v>127</v>
      </c>
      <c r="C54" s="76">
        <v>2.5507038828200002</v>
      </c>
    </row>
    <row r="55" spans="1:4" ht="15.75" customHeight="1" x14ac:dyDescent="0.25">
      <c r="B55" s="16" t="s">
        <v>128</v>
      </c>
      <c r="C55" s="76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0.52292254702846896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44.388781579401957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44.84912601313826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200.54836433279559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0.94987178533966066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1.292964439286711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1.292964439286711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1.292964439286711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1.292964439286711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14.374187882258628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14.374187882258628</v>
      </c>
      <c r="E15" s="86" t="s">
        <v>202</v>
      </c>
    </row>
    <row r="16" spans="1:5" ht="15.75" customHeight="1" x14ac:dyDescent="0.25">
      <c r="A16" s="52" t="s">
        <v>57</v>
      </c>
      <c r="B16" s="85">
        <v>1.2E-2</v>
      </c>
      <c r="C16" s="85">
        <v>0.95</v>
      </c>
      <c r="D16" s="86">
        <v>0.42998861651827425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0.36899999999999999</v>
      </c>
      <c r="C18" s="85">
        <v>0.95</v>
      </c>
      <c r="D18" s="87">
        <v>4.6877241811456267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4.6877241811456267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4.6877241811456267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8.3654863902487371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24.603396778891565</v>
      </c>
      <c r="E22" s="86" t="s">
        <v>202</v>
      </c>
    </row>
    <row r="23" spans="1:5" ht="15.75" customHeight="1" x14ac:dyDescent="0.25">
      <c r="A23" s="52" t="s">
        <v>34</v>
      </c>
      <c r="B23" s="85">
        <v>0.48499999999999999</v>
      </c>
      <c r="C23" s="85">
        <v>0.95</v>
      </c>
      <c r="D23" s="86">
        <v>4.7742338241318913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20.640466451977147</v>
      </c>
      <c r="E24" s="86" t="s">
        <v>202</v>
      </c>
    </row>
    <row r="25" spans="1:5" ht="15.75" customHeight="1" x14ac:dyDescent="0.25">
      <c r="A25" s="52" t="s">
        <v>87</v>
      </c>
      <c r="B25" s="85">
        <v>8.0000000000000002E-3</v>
      </c>
      <c r="C25" s="85">
        <v>0.95</v>
      </c>
      <c r="D25" s="86">
        <v>19.852648982306693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5.0534364685159554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5.2363407330578875</v>
      </c>
      <c r="E27" s="86" t="s">
        <v>202</v>
      </c>
    </row>
    <row r="28" spans="1:5" ht="15.75" customHeight="1" x14ac:dyDescent="0.25">
      <c r="A28" s="52" t="s">
        <v>84</v>
      </c>
      <c r="B28" s="85">
        <v>0.377</v>
      </c>
      <c r="C28" s="85">
        <v>0.95</v>
      </c>
      <c r="D28" s="86">
        <v>2.0667372839644353</v>
      </c>
      <c r="E28" s="86" t="s">
        <v>202</v>
      </c>
    </row>
    <row r="29" spans="1:5" ht="15.75" customHeight="1" x14ac:dyDescent="0.25">
      <c r="A29" s="52" t="s">
        <v>58</v>
      </c>
      <c r="B29" s="85">
        <v>0.36899999999999999</v>
      </c>
      <c r="C29" s="85">
        <v>0.95</v>
      </c>
      <c r="D29" s="86">
        <v>82.515341030888564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4.6956398181241168</v>
      </c>
      <c r="E30" s="86" t="s">
        <v>202</v>
      </c>
    </row>
    <row r="31" spans="1:5" ht="15.75" customHeight="1" x14ac:dyDescent="0.25">
      <c r="A31" s="52" t="s">
        <v>28</v>
      </c>
      <c r="B31" s="85">
        <v>7.400000000000001E-2</v>
      </c>
      <c r="C31" s="85">
        <v>0.95</v>
      </c>
      <c r="D31" s="86">
        <v>0.88473850018384426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0.29399999999999998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0.29799999999999999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0.80799999999999994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0.26200000000000001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5.5596741637734697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0.90865321643877195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0.15025851100000001</v>
      </c>
      <c r="C3" s="26">
        <f>frac_mam_1_5months * 2.6</f>
        <v>0.15025851100000001</v>
      </c>
      <c r="D3" s="26">
        <f>frac_mam_6_11months * 2.6</f>
        <v>0.1599623584</v>
      </c>
      <c r="E3" s="26">
        <f>frac_mam_12_23months * 2.6</f>
        <v>0.18930387840000004</v>
      </c>
      <c r="F3" s="26">
        <f>frac_mam_24_59months * 2.6</f>
        <v>9.4886260733333325E-2</v>
      </c>
    </row>
    <row r="4" spans="1:6" ht="15.75" customHeight="1" x14ac:dyDescent="0.25">
      <c r="A4" s="3" t="s">
        <v>66</v>
      </c>
      <c r="B4" s="26">
        <f>frac_sam_1month * 2.6</f>
        <v>0.113150817</v>
      </c>
      <c r="C4" s="26">
        <f>frac_sam_1_5months * 2.6</f>
        <v>0.113150817</v>
      </c>
      <c r="D4" s="26">
        <f>frac_sam_6_11months * 2.6</f>
        <v>0.12640580160000001</v>
      </c>
      <c r="E4" s="26">
        <f>frac_sam_12_23months * 2.6</f>
        <v>0.14941294159999999</v>
      </c>
      <c r="F4" s="26">
        <f>frac_sam_24_59months * 2.6</f>
        <v>6.6082471000000004E-2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17238.649914000001</v>
      </c>
      <c r="C2" s="78">
        <v>31679</v>
      </c>
      <c r="D2" s="78">
        <v>49392</v>
      </c>
      <c r="E2" s="78">
        <v>781063</v>
      </c>
      <c r="F2" s="78">
        <v>529695</v>
      </c>
      <c r="G2" s="22">
        <f t="shared" ref="G2:G40" si="0">C2+D2+E2+F2</f>
        <v>1391829</v>
      </c>
      <c r="H2" s="22">
        <f t="shared" ref="H2:H40" si="1">(B2 + stillbirth*B2/(1000-stillbirth))/(1-abortion)</f>
        <v>20169.523749017189</v>
      </c>
      <c r="I2" s="22">
        <f>G2-H2</f>
        <v>1371659.4762509828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17297.387333333332</v>
      </c>
      <c r="C3" s="78">
        <v>32000</v>
      </c>
      <c r="D3" s="78">
        <v>51000</v>
      </c>
      <c r="E3" s="78">
        <v>810000</v>
      </c>
      <c r="F3" s="78">
        <v>543000</v>
      </c>
      <c r="G3" s="22">
        <f t="shared" si="0"/>
        <v>1436000</v>
      </c>
      <c r="H3" s="22">
        <f t="shared" si="1"/>
        <v>20238.247563243349</v>
      </c>
      <c r="I3" s="22">
        <f t="shared" ref="I3:I15" si="3">G3-H3</f>
        <v>1415761.7524367566</v>
      </c>
    </row>
    <row r="4" spans="1:9" ht="15.75" customHeight="1" x14ac:dyDescent="0.25">
      <c r="A4" s="7">
        <f t="shared" si="2"/>
        <v>2019</v>
      </c>
      <c r="B4" s="77">
        <v>17355.396666666667</v>
      </c>
      <c r="C4" s="78">
        <v>33000</v>
      </c>
      <c r="D4" s="78">
        <v>52000</v>
      </c>
      <c r="E4" s="78">
        <v>840000</v>
      </c>
      <c r="F4" s="78">
        <v>557000</v>
      </c>
      <c r="G4" s="22">
        <f t="shared" si="0"/>
        <v>1482000</v>
      </c>
      <c r="H4" s="22">
        <f t="shared" si="1"/>
        <v>20306.119504037342</v>
      </c>
      <c r="I4" s="22">
        <f t="shared" si="3"/>
        <v>1461693.8804959627</v>
      </c>
    </row>
    <row r="5" spans="1:9" ht="15.75" customHeight="1" x14ac:dyDescent="0.25">
      <c r="A5" s="7">
        <f t="shared" si="2"/>
        <v>2020</v>
      </c>
      <c r="B5" s="77">
        <v>17403.006000000001</v>
      </c>
      <c r="C5" s="78">
        <v>34000</v>
      </c>
      <c r="D5" s="78">
        <v>53000</v>
      </c>
      <c r="E5" s="78">
        <v>873000</v>
      </c>
      <c r="F5" s="78">
        <v>572000</v>
      </c>
      <c r="G5" s="22">
        <f t="shared" si="0"/>
        <v>1532000</v>
      </c>
      <c r="H5" s="22">
        <f t="shared" si="1"/>
        <v>20361.823261821861</v>
      </c>
      <c r="I5" s="22">
        <f t="shared" si="3"/>
        <v>1511638.1767381781</v>
      </c>
    </row>
    <row r="6" spans="1:9" ht="15.75" customHeight="1" x14ac:dyDescent="0.25">
      <c r="A6" s="7">
        <f t="shared" si="2"/>
        <v>2021</v>
      </c>
      <c r="B6" s="77">
        <v>17531.245199999998</v>
      </c>
      <c r="C6" s="78">
        <v>35000</v>
      </c>
      <c r="D6" s="78">
        <v>55000</v>
      </c>
      <c r="E6" s="78">
        <v>905000</v>
      </c>
      <c r="F6" s="78">
        <v>588000</v>
      </c>
      <c r="G6" s="22">
        <f t="shared" si="0"/>
        <v>1583000</v>
      </c>
      <c r="H6" s="22">
        <f t="shared" si="1"/>
        <v>20511.865382455348</v>
      </c>
      <c r="I6" s="22">
        <f t="shared" si="3"/>
        <v>1562488.1346175447</v>
      </c>
    </row>
    <row r="7" spans="1:9" ht="15.75" customHeight="1" x14ac:dyDescent="0.25">
      <c r="A7" s="7">
        <f t="shared" si="2"/>
        <v>2022</v>
      </c>
      <c r="B7" s="77">
        <v>17678.707200000001</v>
      </c>
      <c r="C7" s="78">
        <v>35000</v>
      </c>
      <c r="D7" s="78">
        <v>57000</v>
      </c>
      <c r="E7" s="78">
        <v>939000</v>
      </c>
      <c r="F7" s="78">
        <v>605000</v>
      </c>
      <c r="G7" s="22">
        <f t="shared" si="0"/>
        <v>1636000</v>
      </c>
      <c r="H7" s="22">
        <f t="shared" si="1"/>
        <v>20684.3985173537</v>
      </c>
      <c r="I7" s="22">
        <f t="shared" si="3"/>
        <v>1615315.6014826463</v>
      </c>
    </row>
    <row r="8" spans="1:9" ht="15.75" customHeight="1" x14ac:dyDescent="0.25">
      <c r="A8" s="7">
        <f t="shared" si="2"/>
        <v>2023</v>
      </c>
      <c r="B8" s="77">
        <v>17792.481599999999</v>
      </c>
      <c r="C8" s="78">
        <v>36000</v>
      </c>
      <c r="D8" s="78">
        <v>57000</v>
      </c>
      <c r="E8" s="78">
        <v>975000</v>
      </c>
      <c r="F8" s="78">
        <v>624000</v>
      </c>
      <c r="G8" s="22">
        <f t="shared" si="0"/>
        <v>1692000</v>
      </c>
      <c r="H8" s="22">
        <f t="shared" si="1"/>
        <v>20817.516567449173</v>
      </c>
      <c r="I8" s="22">
        <f t="shared" si="3"/>
        <v>1671182.4834325509</v>
      </c>
    </row>
    <row r="9" spans="1:9" ht="15.75" customHeight="1" x14ac:dyDescent="0.25">
      <c r="A9" s="7">
        <f t="shared" si="2"/>
        <v>2024</v>
      </c>
      <c r="B9" s="77">
        <v>17899.171199999997</v>
      </c>
      <c r="C9" s="78">
        <v>37000</v>
      </c>
      <c r="D9" s="78">
        <v>59000</v>
      </c>
      <c r="E9" s="78">
        <v>1012000</v>
      </c>
      <c r="F9" s="78">
        <v>645000</v>
      </c>
      <c r="G9" s="22">
        <f t="shared" si="0"/>
        <v>1753000</v>
      </c>
      <c r="H9" s="22">
        <f t="shared" si="1"/>
        <v>20942.345276872958</v>
      </c>
      <c r="I9" s="22">
        <f t="shared" si="3"/>
        <v>1732057.6547231271</v>
      </c>
    </row>
    <row r="10" spans="1:9" ht="15.75" customHeight="1" x14ac:dyDescent="0.25">
      <c r="A10" s="7">
        <f t="shared" si="2"/>
        <v>2025</v>
      </c>
      <c r="B10" s="77">
        <v>18024.198</v>
      </c>
      <c r="C10" s="78">
        <v>37000</v>
      </c>
      <c r="D10" s="78">
        <v>61000</v>
      </c>
      <c r="E10" s="78">
        <v>1052000</v>
      </c>
      <c r="F10" s="78">
        <v>667000</v>
      </c>
      <c r="G10" s="22">
        <f t="shared" si="0"/>
        <v>1817000</v>
      </c>
      <c r="H10" s="22">
        <f t="shared" si="1"/>
        <v>21088.628832977647</v>
      </c>
      <c r="I10" s="22">
        <f t="shared" si="3"/>
        <v>1795911.3711670223</v>
      </c>
    </row>
    <row r="11" spans="1:9" ht="15.75" customHeight="1" x14ac:dyDescent="0.25">
      <c r="A11" s="7">
        <f t="shared" si="2"/>
        <v>2026</v>
      </c>
      <c r="B11" s="77">
        <v>18169.488400000002</v>
      </c>
      <c r="C11" s="78">
        <v>38000</v>
      </c>
      <c r="D11" s="78">
        <v>63000</v>
      </c>
      <c r="E11" s="78">
        <v>1093000</v>
      </c>
      <c r="F11" s="78">
        <v>693000</v>
      </c>
      <c r="G11" s="22">
        <f t="shared" si="0"/>
        <v>1887000</v>
      </c>
      <c r="H11" s="22">
        <f t="shared" si="1"/>
        <v>21258.621157662212</v>
      </c>
      <c r="I11" s="22">
        <f t="shared" si="3"/>
        <v>1865741.3788423378</v>
      </c>
    </row>
    <row r="12" spans="1:9" ht="15.75" customHeight="1" x14ac:dyDescent="0.25">
      <c r="A12" s="7">
        <f t="shared" si="2"/>
        <v>2027</v>
      </c>
      <c r="B12" s="77">
        <v>18334.439200000004</v>
      </c>
      <c r="C12" s="78">
        <v>38000</v>
      </c>
      <c r="D12" s="78">
        <v>64000</v>
      </c>
      <c r="E12" s="78">
        <v>1136000</v>
      </c>
      <c r="F12" s="78">
        <v>719000</v>
      </c>
      <c r="G12" s="22">
        <f t="shared" si="0"/>
        <v>1957000</v>
      </c>
      <c r="H12" s="22">
        <f t="shared" si="1"/>
        <v>21451.616496312108</v>
      </c>
      <c r="I12" s="22">
        <f t="shared" si="3"/>
        <v>1935548.3835036878</v>
      </c>
    </row>
    <row r="13" spans="1:9" ht="15.75" customHeight="1" x14ac:dyDescent="0.25">
      <c r="A13" s="7">
        <f t="shared" si="2"/>
        <v>2028</v>
      </c>
      <c r="B13" s="77">
        <v>18493.628400000001</v>
      </c>
      <c r="C13" s="78">
        <v>38000</v>
      </c>
      <c r="D13" s="78">
        <v>65000</v>
      </c>
      <c r="E13" s="78">
        <v>1180000</v>
      </c>
      <c r="F13" s="78">
        <v>748000</v>
      </c>
      <c r="G13" s="22">
        <f t="shared" si="0"/>
        <v>2031000</v>
      </c>
      <c r="H13" s="22">
        <f t="shared" si="1"/>
        <v>21637.870661574754</v>
      </c>
      <c r="I13" s="22">
        <f t="shared" si="3"/>
        <v>2009362.1293384254</v>
      </c>
    </row>
    <row r="14" spans="1:9" ht="15.75" customHeight="1" x14ac:dyDescent="0.25">
      <c r="A14" s="7">
        <f t="shared" si="2"/>
        <v>2029</v>
      </c>
      <c r="B14" s="77">
        <v>18647.056000000004</v>
      </c>
      <c r="C14" s="78">
        <v>39000</v>
      </c>
      <c r="D14" s="78">
        <v>67000</v>
      </c>
      <c r="E14" s="78">
        <v>1225000</v>
      </c>
      <c r="F14" s="78">
        <v>778000</v>
      </c>
      <c r="G14" s="22">
        <f t="shared" si="0"/>
        <v>2109000</v>
      </c>
      <c r="H14" s="22">
        <f t="shared" si="1"/>
        <v>21817.383653450153</v>
      </c>
      <c r="I14" s="22">
        <f t="shared" si="3"/>
        <v>2087182.6163465499</v>
      </c>
    </row>
    <row r="15" spans="1:9" ht="15.75" customHeight="1" x14ac:dyDescent="0.25">
      <c r="A15" s="7">
        <f t="shared" si="2"/>
        <v>2030</v>
      </c>
      <c r="B15" s="77">
        <v>18794.722000000002</v>
      </c>
      <c r="C15" s="78">
        <v>39000</v>
      </c>
      <c r="D15" s="78">
        <v>68000</v>
      </c>
      <c r="E15" s="78">
        <v>1271000</v>
      </c>
      <c r="F15" s="78">
        <v>810000</v>
      </c>
      <c r="G15" s="22">
        <f t="shared" si="0"/>
        <v>2188000</v>
      </c>
      <c r="H15" s="22">
        <f t="shared" si="1"/>
        <v>21990.155471938298</v>
      </c>
      <c r="I15" s="22">
        <f t="shared" si="3"/>
        <v>2166009.8445280618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128.70193567711257</v>
      </c>
      <c r="I17" s="22">
        <f t="shared" si="4"/>
        <v>-128.70193567711257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8.129589999999999E-3</v>
      </c>
    </row>
    <row r="4" spans="1:8" ht="15.75" customHeight="1" x14ac:dyDescent="0.25">
      <c r="B4" s="24" t="s">
        <v>7</v>
      </c>
      <c r="C4" s="79">
        <v>5.0954593972592603E-2</v>
      </c>
    </row>
    <row r="5" spans="1:8" ht="15.75" customHeight="1" x14ac:dyDescent="0.25">
      <c r="B5" s="24" t="s">
        <v>8</v>
      </c>
      <c r="C5" s="79">
        <v>8.0023787979843192E-2</v>
      </c>
    </row>
    <row r="6" spans="1:8" ht="15.75" customHeight="1" x14ac:dyDescent="0.25">
      <c r="B6" s="24" t="s">
        <v>10</v>
      </c>
      <c r="C6" s="79">
        <v>0.12701815233032399</v>
      </c>
    </row>
    <row r="7" spans="1:8" ht="15.75" customHeight="1" x14ac:dyDescent="0.25">
      <c r="B7" s="24" t="s">
        <v>13</v>
      </c>
      <c r="C7" s="79">
        <v>0.23242745897939276</v>
      </c>
    </row>
    <row r="8" spans="1:8" ht="15.75" customHeight="1" x14ac:dyDescent="0.25">
      <c r="B8" s="24" t="s">
        <v>14</v>
      </c>
      <c r="C8" s="79">
        <v>1.220993526663425E-4</v>
      </c>
    </row>
    <row r="9" spans="1:8" ht="15.75" customHeight="1" x14ac:dyDescent="0.25">
      <c r="B9" s="24" t="s">
        <v>27</v>
      </c>
      <c r="C9" s="79">
        <v>0.11165741764672474</v>
      </c>
    </row>
    <row r="10" spans="1:8" ht="15.75" customHeight="1" x14ac:dyDescent="0.25">
      <c r="B10" s="24" t="s">
        <v>15</v>
      </c>
      <c r="C10" s="79">
        <v>0.38966689973845636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4.6660459808745898E-2</v>
      </c>
      <c r="D14" s="79">
        <v>4.6660459808745898E-2</v>
      </c>
      <c r="E14" s="79">
        <v>8.4335548592385498E-2</v>
      </c>
      <c r="F14" s="79">
        <v>8.4335548592385498E-2</v>
      </c>
    </row>
    <row r="15" spans="1:8" ht="15.75" customHeight="1" x14ac:dyDescent="0.25">
      <c r="B15" s="24" t="s">
        <v>16</v>
      </c>
      <c r="C15" s="79">
        <v>0.22180508923656098</v>
      </c>
      <c r="D15" s="79">
        <v>0.22180508923656098</v>
      </c>
      <c r="E15" s="79">
        <v>0.20242270704939599</v>
      </c>
      <c r="F15" s="79">
        <v>0.20242270704939599</v>
      </c>
    </row>
    <row r="16" spans="1:8" ht="15.75" customHeight="1" x14ac:dyDescent="0.25">
      <c r="B16" s="24" t="s">
        <v>17</v>
      </c>
      <c r="C16" s="79">
        <v>2.1855312563885197E-2</v>
      </c>
      <c r="D16" s="79">
        <v>2.1855312563885197E-2</v>
      </c>
      <c r="E16" s="79">
        <v>2.3535425692457198E-2</v>
      </c>
      <c r="F16" s="79">
        <v>2.3535425692457198E-2</v>
      </c>
    </row>
    <row r="17" spans="1:8" ht="15.75" customHeight="1" x14ac:dyDescent="0.25">
      <c r="B17" s="24" t="s">
        <v>18</v>
      </c>
      <c r="C17" s="79">
        <v>1.6419908241696399E-3</v>
      </c>
      <c r="D17" s="79">
        <v>1.6419908241696399E-3</v>
      </c>
      <c r="E17" s="79">
        <v>6.9200037635852299E-3</v>
      </c>
      <c r="F17" s="79">
        <v>6.9200037635852299E-3</v>
      </c>
    </row>
    <row r="18" spans="1:8" ht="15.75" customHeight="1" x14ac:dyDescent="0.25">
      <c r="B18" s="24" t="s">
        <v>19</v>
      </c>
      <c r="C18" s="79">
        <v>2.1261013791371601E-5</v>
      </c>
      <c r="D18" s="79">
        <v>2.1261013791371601E-5</v>
      </c>
      <c r="E18" s="79">
        <v>4.8211831475416801E-5</v>
      </c>
      <c r="F18" s="79">
        <v>4.8211831475416801E-5</v>
      </c>
    </row>
    <row r="19" spans="1:8" ht="15.75" customHeight="1" x14ac:dyDescent="0.25">
      <c r="B19" s="24" t="s">
        <v>20</v>
      </c>
      <c r="C19" s="79">
        <v>4.1456582137510203E-2</v>
      </c>
      <c r="D19" s="79">
        <v>4.1456582137510203E-2</v>
      </c>
      <c r="E19" s="79">
        <v>7.2114153188237495E-2</v>
      </c>
      <c r="F19" s="79">
        <v>7.2114153188237495E-2</v>
      </c>
    </row>
    <row r="20" spans="1:8" ht="15.75" customHeight="1" x14ac:dyDescent="0.25">
      <c r="B20" s="24" t="s">
        <v>21</v>
      </c>
      <c r="C20" s="79">
        <v>3.1695968387015199E-3</v>
      </c>
      <c r="D20" s="79">
        <v>3.1695968387015199E-3</v>
      </c>
      <c r="E20" s="79">
        <v>1.5746064896919199E-2</v>
      </c>
      <c r="F20" s="79">
        <v>1.5746064896919199E-2</v>
      </c>
    </row>
    <row r="21" spans="1:8" ht="15.75" customHeight="1" x14ac:dyDescent="0.25">
      <c r="B21" s="24" t="s">
        <v>22</v>
      </c>
      <c r="C21" s="79">
        <v>5.0077833858462803E-2</v>
      </c>
      <c r="D21" s="79">
        <v>5.0077833858462803E-2</v>
      </c>
      <c r="E21" s="79">
        <v>0.205975067833226</v>
      </c>
      <c r="F21" s="79">
        <v>0.205975067833226</v>
      </c>
    </row>
    <row r="22" spans="1:8" ht="15.75" customHeight="1" x14ac:dyDescent="0.25">
      <c r="B22" s="24" t="s">
        <v>23</v>
      </c>
      <c r="C22" s="79">
        <v>0.61331187371817242</v>
      </c>
      <c r="D22" s="79">
        <v>0.61331187371817242</v>
      </c>
      <c r="E22" s="79">
        <v>0.388902817152318</v>
      </c>
      <c r="F22" s="79">
        <v>0.388902817152318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1.8799999999999997E-2</v>
      </c>
    </row>
    <row r="28" spans="1:8" ht="15.75" customHeight="1" x14ac:dyDescent="0.25">
      <c r="B28" s="24" t="s">
        <v>40</v>
      </c>
      <c r="C28" s="79">
        <v>0.2296</v>
      </c>
    </row>
    <row r="29" spans="1:8" ht="15.75" customHeight="1" x14ac:dyDescent="0.25">
      <c r="B29" s="24" t="s">
        <v>41</v>
      </c>
      <c r="C29" s="79">
        <v>0.1389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7.1099999999999997E-2</v>
      </c>
    </row>
    <row r="32" spans="1:8" ht="15.75" customHeight="1" x14ac:dyDescent="0.25">
      <c r="B32" s="24" t="s">
        <v>44</v>
      </c>
      <c r="C32" s="79">
        <v>0.1477</v>
      </c>
    </row>
    <row r="33" spans="2:3" ht="15.75" customHeight="1" x14ac:dyDescent="0.25">
      <c r="B33" s="24" t="s">
        <v>45</v>
      </c>
      <c r="C33" s="79">
        <v>0.1234</v>
      </c>
    </row>
    <row r="34" spans="2:3" ht="15.75" customHeight="1" x14ac:dyDescent="0.25">
      <c r="B34" s="24" t="s">
        <v>46</v>
      </c>
      <c r="C34" s="79">
        <v>0.17269999999999999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0.62621528464301812</v>
      </c>
      <c r="D2" s="80">
        <v>0.62621528464301812</v>
      </c>
      <c r="E2" s="80">
        <v>0.56630577025684692</v>
      </c>
      <c r="F2" s="80">
        <v>0.36292306485121567</v>
      </c>
      <c r="G2" s="80">
        <v>0.31154034482614168</v>
      </c>
    </row>
    <row r="3" spans="1:15" ht="15.75" customHeight="1" x14ac:dyDescent="0.25">
      <c r="A3" s="5"/>
      <c r="B3" s="11" t="s">
        <v>118</v>
      </c>
      <c r="C3" s="80">
        <v>0.22714630957101159</v>
      </c>
      <c r="D3" s="80">
        <v>0.22714630957101159</v>
      </c>
      <c r="E3" s="80">
        <v>0.25789017418759763</v>
      </c>
      <c r="F3" s="80">
        <v>0.31220400299312645</v>
      </c>
      <c r="G3" s="80">
        <v>0.32307887611599873</v>
      </c>
    </row>
    <row r="4" spans="1:15" ht="15.75" customHeight="1" x14ac:dyDescent="0.25">
      <c r="A4" s="5"/>
      <c r="B4" s="11" t="s">
        <v>116</v>
      </c>
      <c r="C4" s="81">
        <v>8.7496949308755748E-2</v>
      </c>
      <c r="D4" s="81">
        <v>8.7496949308755748E-2</v>
      </c>
      <c r="E4" s="81">
        <v>0.11018134357398872</v>
      </c>
      <c r="F4" s="81">
        <v>0.18714625268817203</v>
      </c>
      <c r="G4" s="81">
        <v>0.20902049001536094</v>
      </c>
    </row>
    <row r="5" spans="1:15" ht="15.75" customHeight="1" x14ac:dyDescent="0.25">
      <c r="A5" s="5"/>
      <c r="B5" s="11" t="s">
        <v>119</v>
      </c>
      <c r="C5" s="81">
        <v>5.9141456477214527E-2</v>
      </c>
      <c r="D5" s="81">
        <v>5.9141456477214527E-2</v>
      </c>
      <c r="E5" s="81">
        <v>6.5622711981566814E-2</v>
      </c>
      <c r="F5" s="81">
        <v>0.1377266794674859</v>
      </c>
      <c r="G5" s="81">
        <v>0.15636028904249871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0.69640474082063297</v>
      </c>
      <c r="D8" s="80">
        <v>0.69640474082063297</v>
      </c>
      <c r="E8" s="80">
        <v>0.67281976585365844</v>
      </c>
      <c r="F8" s="80">
        <v>0.63425746762672808</v>
      </c>
      <c r="G8" s="80">
        <v>0.69507139495060377</v>
      </c>
    </row>
    <row r="9" spans="1:15" ht="15.75" customHeight="1" x14ac:dyDescent="0.25">
      <c r="B9" s="7" t="s">
        <v>121</v>
      </c>
      <c r="C9" s="80">
        <v>0.20228397917936697</v>
      </c>
      <c r="D9" s="80">
        <v>0.20228397917936697</v>
      </c>
      <c r="E9" s="80">
        <v>0.21703863414634147</v>
      </c>
      <c r="F9" s="80">
        <v>0.2354668323732719</v>
      </c>
      <c r="G9" s="80">
        <v>0.24301755438272965</v>
      </c>
    </row>
    <row r="10" spans="1:15" ht="15.75" customHeight="1" x14ac:dyDescent="0.25">
      <c r="B10" s="7" t="s">
        <v>122</v>
      </c>
      <c r="C10" s="81">
        <v>5.7791735000000004E-2</v>
      </c>
      <c r="D10" s="81">
        <v>5.7791735000000004E-2</v>
      </c>
      <c r="E10" s="81">
        <v>6.1523984000000004E-2</v>
      </c>
      <c r="F10" s="81">
        <v>7.2809184000000013E-2</v>
      </c>
      <c r="G10" s="81">
        <v>3.6494715666666663E-2</v>
      </c>
    </row>
    <row r="11" spans="1:15" ht="15.75" customHeight="1" x14ac:dyDescent="0.25">
      <c r="B11" s="7" t="s">
        <v>123</v>
      </c>
      <c r="C11" s="81">
        <v>4.3519545E-2</v>
      </c>
      <c r="D11" s="81">
        <v>4.3519545E-2</v>
      </c>
      <c r="E11" s="81">
        <v>4.8617616000000002E-2</v>
      </c>
      <c r="F11" s="81">
        <v>5.7466515999999995E-2</v>
      </c>
      <c r="G11" s="81">
        <v>2.5416335000000002E-2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0.61941419899999994</v>
      </c>
      <c r="D14" s="82">
        <v>0.61082815785800004</v>
      </c>
      <c r="E14" s="82">
        <v>0.61082815785800004</v>
      </c>
      <c r="F14" s="82">
        <v>0.46499616867100002</v>
      </c>
      <c r="G14" s="82">
        <v>0.46499616867100002</v>
      </c>
      <c r="H14" s="83">
        <v>0.48599999999999999</v>
      </c>
      <c r="I14" s="83">
        <v>0.48599999999999999</v>
      </c>
      <c r="J14" s="83">
        <v>0.48599999999999999</v>
      </c>
      <c r="K14" s="83">
        <v>0.48599999999999999</v>
      </c>
      <c r="L14" s="83">
        <v>0.37954046669599995</v>
      </c>
      <c r="M14" s="83">
        <v>0.302233934471</v>
      </c>
      <c r="N14" s="83">
        <v>0.33289570490249998</v>
      </c>
      <c r="O14" s="83">
        <v>0.3779324601415</v>
      </c>
    </row>
    <row r="15" spans="1:15" ht="15.75" customHeight="1" x14ac:dyDescent="0.25">
      <c r="B15" s="16" t="s">
        <v>68</v>
      </c>
      <c r="C15" s="80">
        <f>iron_deficiency_anaemia*C14</f>
        <v>0.32390565060667892</v>
      </c>
      <c r="D15" s="80">
        <f t="shared" ref="D15:O15" si="0">iron_deficiency_anaemia*D14</f>
        <v>0.31941581610381309</v>
      </c>
      <c r="E15" s="80">
        <f t="shared" si="0"/>
        <v>0.31941581610381309</v>
      </c>
      <c r="F15" s="80">
        <f t="shared" si="0"/>
        <v>0.24315698087991888</v>
      </c>
      <c r="G15" s="80">
        <f t="shared" si="0"/>
        <v>0.24315698087991888</v>
      </c>
      <c r="H15" s="80">
        <f t="shared" si="0"/>
        <v>0.25414035785583589</v>
      </c>
      <c r="I15" s="80">
        <f t="shared" si="0"/>
        <v>0.25414035785583589</v>
      </c>
      <c r="J15" s="80">
        <f t="shared" si="0"/>
        <v>0.25414035785583589</v>
      </c>
      <c r="K15" s="80">
        <f t="shared" si="0"/>
        <v>0.25414035785583589</v>
      </c>
      <c r="L15" s="80">
        <f t="shared" si="0"/>
        <v>0.1984702675450461</v>
      </c>
      <c r="M15" s="80">
        <f t="shared" si="0"/>
        <v>0.1580449388120107</v>
      </c>
      <c r="N15" s="80">
        <f t="shared" si="0"/>
        <v>0.17407866990245288</v>
      </c>
      <c r="O15" s="80">
        <f t="shared" si="0"/>
        <v>0.19762940466192852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0.26425999999999999</v>
      </c>
      <c r="D2" s="144">
        <v>0.26174999999999998</v>
      </c>
      <c r="E2" s="144">
        <v>0.25922000000000001</v>
      </c>
      <c r="F2" s="144">
        <v>0.25670999999999999</v>
      </c>
      <c r="G2" s="144">
        <v>0.25418000000000002</v>
      </c>
      <c r="H2" s="144">
        <v>0.25135999999999997</v>
      </c>
      <c r="I2" s="144">
        <v>0.24858</v>
      </c>
      <c r="J2" s="144">
        <v>0.24584</v>
      </c>
      <c r="K2" s="144">
        <v>0.24315999999999999</v>
      </c>
      <c r="L2" s="144">
        <v>0.24053999999999998</v>
      </c>
      <c r="M2" s="144">
        <v>0.23797999999999997</v>
      </c>
      <c r="N2" s="144">
        <v>0.23546</v>
      </c>
      <c r="O2" s="144">
        <v>0.23300999999999999</v>
      </c>
      <c r="P2" s="144">
        <v>0.23061000000000001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5.101E-2</v>
      </c>
      <c r="D4" s="144">
        <v>5.0330000000000007E-2</v>
      </c>
      <c r="E4" s="144">
        <v>4.9680000000000002E-2</v>
      </c>
      <c r="F4" s="144">
        <v>4.9059999999999999E-2</v>
      </c>
      <c r="G4" s="144">
        <v>4.8479999999999995E-2</v>
      </c>
      <c r="H4" s="144">
        <v>4.8029999999999996E-2</v>
      </c>
      <c r="I4" s="144">
        <v>4.759E-2</v>
      </c>
      <c r="J4" s="144">
        <v>4.718E-2</v>
      </c>
      <c r="K4" s="144">
        <v>4.6769999999999999E-2</v>
      </c>
      <c r="L4" s="144">
        <v>4.6379999999999998E-2</v>
      </c>
      <c r="M4" s="144">
        <v>4.5990000000000003E-2</v>
      </c>
      <c r="N4" s="144">
        <v>4.5620000000000001E-2</v>
      </c>
      <c r="O4" s="144">
        <v>4.5259999999999995E-2</v>
      </c>
      <c r="P4" s="144">
        <v>4.4900000000000002E-2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0.25848357849974551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0.25414035785583589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0.17971089918540434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0.77500000000000002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26.015000000000001</v>
      </c>
      <c r="D13" s="143">
        <v>25.286999999999999</v>
      </c>
      <c r="E13" s="143">
        <v>24.571999999999999</v>
      </c>
      <c r="F13" s="143">
        <v>23.899000000000001</v>
      </c>
      <c r="G13" s="143">
        <v>23.297999999999998</v>
      </c>
      <c r="H13" s="143">
        <v>22.748999999999999</v>
      </c>
      <c r="I13" s="143">
        <v>22.228999999999999</v>
      </c>
      <c r="J13" s="143">
        <v>21.686</v>
      </c>
      <c r="K13" s="143">
        <v>21.192</v>
      </c>
      <c r="L13" s="143">
        <v>20.728000000000002</v>
      </c>
      <c r="M13" s="143">
        <v>20.390999999999998</v>
      </c>
      <c r="N13" s="143">
        <v>19.914999999999999</v>
      </c>
      <c r="O13" s="143">
        <v>19.481999999999999</v>
      </c>
      <c r="P13" s="143">
        <v>19.081</v>
      </c>
    </row>
    <row r="14" spans="1:16" x14ac:dyDescent="0.25">
      <c r="B14" s="16" t="s">
        <v>170</v>
      </c>
      <c r="C14" s="143">
        <f>maternal_mortality</f>
        <v>7.32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0.127</v>
      </c>
      <c r="E2" s="92">
        <f>food_insecure</f>
        <v>0.127</v>
      </c>
      <c r="F2" s="92">
        <f>food_insecure</f>
        <v>0.127</v>
      </c>
      <c r="G2" s="92">
        <f>food_insecure</f>
        <v>0.127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0.127</v>
      </c>
      <c r="F5" s="92">
        <f>food_insecure</f>
        <v>0.127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0.15758068203384615</v>
      </c>
      <c r="D7" s="92">
        <f>diarrhoea_1_5mo/26</f>
        <v>0.13247947062384616</v>
      </c>
      <c r="E7" s="92">
        <f>diarrhoea_6_11mo/26</f>
        <v>0.13247947062384616</v>
      </c>
      <c r="F7" s="92">
        <f>diarrhoea_12_23mo/26</f>
        <v>9.8103995493076926E-2</v>
      </c>
      <c r="G7" s="92">
        <f>diarrhoea_24_59mo/26</f>
        <v>9.8103995493076926E-2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0.127</v>
      </c>
      <c r="F8" s="92">
        <f>food_insecure</f>
        <v>0.127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0.79</v>
      </c>
      <c r="E9" s="92">
        <f>IF(ISBLANK(comm_deliv), frac_children_health_facility,1)</f>
        <v>0.79</v>
      </c>
      <c r="F9" s="92">
        <f>IF(ISBLANK(comm_deliv), frac_children_health_facility,1)</f>
        <v>0.79</v>
      </c>
      <c r="G9" s="92">
        <f>IF(ISBLANK(comm_deliv), frac_children_health_facility,1)</f>
        <v>0.79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0.15758068203384615</v>
      </c>
      <c r="D11" s="92">
        <f>diarrhoea_1_5mo/26</f>
        <v>0.13247947062384616</v>
      </c>
      <c r="E11" s="92">
        <f>diarrhoea_6_11mo/26</f>
        <v>0.13247947062384616</v>
      </c>
      <c r="F11" s="92">
        <f>diarrhoea_12_23mo/26</f>
        <v>9.8103995493076926E-2</v>
      </c>
      <c r="G11" s="92">
        <f>diarrhoea_24_59mo/26</f>
        <v>9.8103995493076926E-2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0.127</v>
      </c>
      <c r="I14" s="92">
        <f>food_insecure</f>
        <v>0.127</v>
      </c>
      <c r="J14" s="92">
        <f>food_insecure</f>
        <v>0.127</v>
      </c>
      <c r="K14" s="92">
        <f>food_insecure</f>
        <v>0.127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0.68900000000000006</v>
      </c>
      <c r="I17" s="92">
        <f>frac_PW_health_facility</f>
        <v>0.68900000000000006</v>
      </c>
      <c r="J17" s="92">
        <f>frac_PW_health_facility</f>
        <v>0.68900000000000006</v>
      </c>
      <c r="K17" s="92">
        <f>frac_PW_health_facility</f>
        <v>0.68900000000000006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0.62</v>
      </c>
      <c r="M23" s="92">
        <f>famplan_unmet_need</f>
        <v>0.62</v>
      </c>
      <c r="N23" s="92">
        <f>famplan_unmet_need</f>
        <v>0.62</v>
      </c>
      <c r="O23" s="92">
        <f>famplan_unmet_need</f>
        <v>0.62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9.6055674670031996E-2</v>
      </c>
      <c r="M24" s="92">
        <f>(1-food_insecure)*(0.49)+food_insecure*(0.7)</f>
        <v>0.51666999999999996</v>
      </c>
      <c r="N24" s="92">
        <f>(1-food_insecure)*(0.49)+food_insecure*(0.7)</f>
        <v>0.51666999999999996</v>
      </c>
      <c r="O24" s="92">
        <f>(1-food_insecure)*(0.49)+food_insecure*(0.7)</f>
        <v>0.51666999999999996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4.1166717715727996E-2</v>
      </c>
      <c r="M25" s="92">
        <f>(1-food_insecure)*(0.21)+food_insecure*(0.3)</f>
        <v>0.22142999999999999</v>
      </c>
      <c r="N25" s="92">
        <f>(1-food_insecure)*(0.21)+food_insecure*(0.3)</f>
        <v>0.22142999999999999</v>
      </c>
      <c r="O25" s="92">
        <f>(1-food_insecure)*(0.21)+food_insecure*(0.3)</f>
        <v>0.22142999999999999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4.8690617214239999E-2</v>
      </c>
      <c r="M26" s="92">
        <f>(1-food_insecure)*(0.3)</f>
        <v>0.26189999999999997</v>
      </c>
      <c r="N26" s="92">
        <f>(1-food_insecure)*(0.3)</f>
        <v>0.26189999999999997</v>
      </c>
      <c r="O26" s="92">
        <f>(1-food_insecure)*(0.3)</f>
        <v>0.26189999999999997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0.81408699039999999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2020-03-24T06:50:32Z</dcterms:modified>
</cp:coreProperties>
</file>