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BD837EB4-73FF-40C1-A204-5057310FBD67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I11" i="2" s="1"/>
  <c r="H12" i="2"/>
  <c r="H13" i="2"/>
  <c r="I13" i="2" s="1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15" i="2"/>
  <c r="I18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4" i="2"/>
  <c r="I12" i="2"/>
  <c r="I10" i="2"/>
  <c r="I9" i="2"/>
  <c r="I8" i="2"/>
  <c r="I7" i="2"/>
  <c r="I5" i="2"/>
  <c r="I4" i="2"/>
  <c r="I3" i="2"/>
  <c r="I2" i="2"/>
  <c r="C7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E88EC6E4-F537-4AA0-B707-049C4C45BF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5FF1B8A5-6A55-4F9A-BF17-A293BBA54EEC}">
      <text>
        <r>
          <rPr>
            <sz val="9"/>
            <color indexed="81"/>
            <rFont val="Tahoma"/>
            <charset val="1"/>
          </rPr>
          <t>Source: LiST</t>
        </r>
      </text>
    </comment>
    <comment ref="C9" authorId="0" shapeId="0" xr:uid="{DAC15BDF-4D64-4597-8243-B1726EBAE02D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11B1C7A6-B9F6-4237-8A54-34172BA37567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6A270871-255C-4ADD-8090-AE0B92ED974C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7DCB41F6-3D55-4AEC-BD9E-D4592918085B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8C60A47B-3B47-4437-9AE7-9923046A5434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46695FEE-D907-4714-9002-11EAF31F2C9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D5594FF8-1096-4F14-A21F-87B41464E6A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5045134D-BF55-43CD-B1F2-10C1E45EC31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39F9372C-EA75-4840-8B16-22717CD5DEA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CBF5C95B-9758-4441-AF12-FE10188BDE7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41DF8B9B-0F41-4609-B1BC-AB36C7F7346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377BEEC7-CB9E-4D77-B8FC-C2F950CACD0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8C54A398-DD75-4DD1-A87C-2856BF9D459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7B7B6382-066C-4D7E-81D0-AFBFBA6F801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5C15C7B4-795A-441D-9A82-3578060D7CA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8D01013D-A1F8-462C-A7DC-81718EEC58D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758D215B-3CD4-4CF6-8215-128F84CF296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F1D8298E-E08A-48FA-A2D9-B205CD35133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667E389C-DF6C-45EE-B7E3-DABEDF99A4D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D55AFDAA-9130-41A3-AC39-D320DF44102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E8203CE5-B251-41D3-8403-AF3D10C7E852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843C2405-225E-47AB-AF33-E1B526DB8311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8949E0DE-8E47-4BCB-9036-C151329AC23C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AACB96FF-3A33-4F2A-86A3-982A2481D32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0BA106B3-A3F5-4115-85B8-670DCA6E5A47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A71763F3-AFC2-4A98-BEEC-7E6127F0C44F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67B12928-E8B5-45B0-B47A-44ECC760BD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79FE5FB6-8B53-405B-9DEA-306EA0BB2B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1C533C45-57AD-407E-8F76-1DDA7C83A9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4637E973-FFE3-47EA-8749-57B51043FB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2257B628-8256-488B-830C-881D467B8E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BEEBD8EF-947A-4CD7-8849-585503A9E7B7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43D0A48B-8E5E-4302-8CFD-F0BD68120522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439B289-B3AC-4F76-A066-28524EEFF5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B467E8D2-8D4B-4A36-B1B4-9E803F858B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D82105A3-B655-417C-9B0F-4BA87FF335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43EA2164-F7F8-48AB-8A95-6FC8D0D662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823A1F39-41AA-459C-8B69-BF85947592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6C687899-E824-4EF2-AAEE-DC79C2EA96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04900211-9391-4962-850A-2E55924CA4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487FBB2B-01A8-442F-86C5-AB7DBDE288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95E8B774-9B9A-47A7-BA78-13BBCB42D8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B09EA160-9E40-47C5-84EC-C5E191B883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35327373-4497-409F-9549-B59F4F03AF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DD7A51A6-BFF6-4050-9F46-3EDE0D8EDF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8F478E77-092C-4270-BA17-C0B616DE98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556653A5-0C4F-4C5D-9EC9-74EBD25CAF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2509BB9D-D931-4347-80CE-4CB1B15A7E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438936BC-C33F-4E13-9C74-E4ED70AED2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9745E8FD-97C8-42EF-974A-E1E6947743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AB1DB63E-2DB9-4259-A9A3-CB9180ED6F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57715DF6-5962-485E-A13A-1B3D7B6620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A0136DE6-0DDA-417A-A603-83A88AFE38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ED379751-198C-4C6D-9BDC-1E02FB0C70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BF3774EC-EEA4-4496-8309-ED71719CF3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F39E2126-C2B6-429F-BB77-C85AFFE73C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304EB9EF-F181-48FD-AAEA-4589D3291D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2331BCD5-F5B8-4959-8E1A-C268DDAB19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FBD40C6C-4CD7-4A41-A326-379042B23A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C0129913-831E-483F-889F-E23EDEF8E2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6E846E3A-0852-48C0-AE24-BDD2D787E7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EF10E608-2ED9-4A47-9806-430E9D9C24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B0764F19-30F4-4A3C-A818-E8653FD495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92B4CECD-AB85-4D67-88C8-8E86E6C637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64B823EB-CB8B-4722-8635-DC15E1013B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D9434A40-67D1-4114-8D07-E3A9D91D65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99079621-6DBF-4E55-8A45-E3775BB9AA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84441EBC-D9AB-45BB-8CB4-314B622249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006D4FCE-597E-4BA7-9ED8-754924B02C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09B50ADD-F085-4A85-9312-D14AB214C5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B06E54A9-856B-4412-AABB-D4F1892EE5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F5A679F1-FBF1-41D9-9D81-53D72B7979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0F6DDD52-BDEA-4CE0-B74E-1DE2E10774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9858FF7E-AADE-4F7B-97C4-DD65345559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B09FE163-5513-4547-9055-A92B759622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8E22A0FC-A91D-4C00-A84A-1CEF88734F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70E19A93-474F-43BD-929A-7C33A75A3E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BABCA03A-CA39-4A44-BC07-3D90918AA7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5FB2ABFB-2D45-4400-999B-F36F5B9B25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7214A40A-0567-46D1-A43D-981E5F73BB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F5456A7E-BFD1-48FD-93DE-3887F9B2F2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9463AF4B-47EC-475C-B529-226A19B9E0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5BDBE496-9694-46AD-8825-6153EC9997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2D966D08-9F14-4280-80EF-CCD69A59B9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7DDF7583-6E84-4424-904E-CCA37B5133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A8CF2E13-0BD1-455D-9C70-88164CE179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5FF5167E-CDA0-430D-A1F4-C0B4268311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1593A5CD-7BE2-4929-AA3A-762DF9433F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2FC39A03-6972-4393-A949-A902832A6B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F5291E00-8713-45C5-8DDA-22E38BFD55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24CF54DC-DB40-428B-8F15-6CDE733D3F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5D09DE78-6E44-43E3-B6AF-5CB00AFAEB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49173E00-B48A-419D-9936-835B12DCD7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51C37FAE-E589-4255-AC9C-98835A81A3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358348F2-B6B3-47DC-AFAF-2B184C1CCB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CDD48A95-BB76-49BE-B1E8-E50095965E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70D2578A-E056-4877-B24B-B208998264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3A7A56DE-E5E1-4ADA-96AA-8BFFEB7075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E10AD64D-5188-4ACB-B160-578F83434D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A83959DD-ABEE-4BAB-92BF-956DFA8142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947DF6EE-C7F8-4ECE-90BF-4CAA286BFB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168DBB2A-F1DB-47B4-BF45-865886E088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8DC63E1F-7A89-4B87-B1BA-A5ACD04E94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4EE12E34-FABF-4387-A21D-90794806B9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9A65E5A8-088F-433C-9D94-C4C6BA1D31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2225D6AB-E170-41C5-B9C4-F164AA79CE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9934BC97-837E-44F0-993A-819AFFE87D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A073503A-6990-4C18-A9C7-56309A4B23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A9D4228D-A3F0-4F9D-AC15-EFF19CE097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E86839E7-65F5-4897-9A1B-185C468461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94E9CDA1-AB92-4A4B-A2A7-24FB7DDC34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42295732-A34B-4F90-B530-72151FF5D8C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D2A87A32-D792-41F0-8ED8-DB35BA8F7A1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EC160BDD-32B4-4A35-9087-9123173C0EF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DCF0627F-57C9-4A97-975D-DA4A0A1228A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50AABC4B-DA70-4497-BDCE-472012791CD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2CF987ED-E31B-4D68-89A3-CB93B31079F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EFA6004C-B92F-4806-80B9-990D93A3834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203F5558-9EC1-4D88-AFBA-D8E0771AFC7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9A22F4B1-9D08-4FB0-8F40-DA8763B8182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CED85E68-746B-4F39-8C49-30567AE69E3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42BCDA65-5CD9-410D-A868-E8FD15EC0ED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97747F11-8483-4F74-88A9-0237C41BB30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8A97B827-A513-46A6-80AA-01EDA798F8A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0934350C-F9F7-4722-88B8-82F85E354F8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EC236B25-BA44-4B10-BAD6-43AA29ABD81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603725C1-6E4A-4886-97FE-703A018A97F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4CA8F1BB-4C75-4738-B446-3FDFF456EB2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FF3917ED-77E9-4896-B858-4D2BA6D6BE1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0FB04FFD-A84E-498A-9AD3-62CD442AC17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58BF2C67-B730-4102-A8D0-1ABE5FA1716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9E104EF1-3DC5-45DD-977D-72BC6A4BA74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E0578611-7E53-426D-A084-E2208636D9A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119E299A-37ED-481C-BB58-B2FF6AEE478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6376BE30-920B-4522-A2AD-A74920B8BF1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8D539187-92AF-4346-9880-7ACBFFEF131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5E7DF42E-20DB-4710-B189-93EC7BF78C9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3C1447C3-1E08-41CD-9D09-D5459E5E3BF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485B64C9-ADAB-4BA3-B012-48E1F804985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95CC511D-FAE6-480C-912D-3CA898115A9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ECA640E2-B900-4769-842B-AC346B72AAB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38D526B0-A3AF-45EA-BCF4-2B5FFC4A3FA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B0CFF411-308C-4C71-8A93-77410085FDF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DEA80910-D819-4C34-A659-965FB08566D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8D4F679E-F19E-483A-9290-C460CAB3403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92DE7321-ABB0-47A1-A72B-D6EE7685270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0082A931-6ADA-4643-8DAD-69331904F00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5B924D02-09B4-4D63-9C8F-648BAE3A971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887408C1-848A-4EA8-BD0B-1338F24373A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BE33380C-4F37-4201-9FFF-7316B2F3537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CA568CF4-4697-40C0-BBC4-A3B0B443882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008B6DCB-5953-402C-86B1-A38C266163B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81892DB6-5200-4A39-B4E7-8E60DFD5C84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7B1C43E8-432B-4986-9DD1-AB508B3DD5A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2299B6B1-72C7-4A32-9C41-C41EF4BEA0E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A0A52204-0721-43DE-9212-4BDB3284A4E9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9AA73D64-289F-4A19-A6ED-D09C18DA238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5DA38969-EC15-48DA-A1A9-EF2E99157A5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44BCAE7E-0112-4F6B-BC87-877391EE3FD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A5260A79-3DA0-4BC9-B034-0C86C556AE3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4A62BE84-11E8-4DE8-9838-5C9ACEE04E5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CC442FDD-0673-4083-84F1-C35E26317B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54E24F70-311B-4B7E-AFA5-2340A86B7D9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D142909A-5C53-48B3-8C3C-5D6DEE05F39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105A9CCF-F2CA-453F-8657-978A5D69C0E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BA6BC3A6-0D86-42D0-A34B-AEB83DC85A8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A7577DF9-DE50-4013-9FAB-DF29A10313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F3B98E5A-A07A-41ED-A480-36DDBA21819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B47FE52B-BB5A-471E-AEE5-9B631D64BE3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2598FF6E-56DA-4820-91E8-9E517CFEBC5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A8107C3D-AA51-4429-AC77-307B41E198E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EF4BD8BD-E89D-4160-8ECD-F5B04BA1003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3E72DACD-A16A-4A5F-AC87-43C64D7B8B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C7B56CEF-7786-49AF-9623-DD4293219BC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A3C37E6C-A55B-4F5D-BF10-BBBA49E8B01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6AE56F2A-052A-44E4-B5FB-5EEC3EAA874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758D7A14-8587-407C-B7CC-FC656D75234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32BC0517-1E3D-4688-A228-D5E2AFDB249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D0237E8A-FC93-4926-8F15-C0BE169F7A1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4453B3B4-787F-4876-B1AE-D2A14BBD9A4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F74824F1-8BF1-4C2F-BCC2-487FBF77730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55BFF3B2-2D05-4ECB-96C9-38FA908FD2F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35D026BC-51F1-47A8-A79C-D8472CDD409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75190AE8-1F8F-48D7-8182-506D180DA5B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962D8E28-F2BB-4AF7-8538-8D536E93BC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0F604100-B646-47CE-8D38-10118A5595D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8390585B-6B88-4127-8E35-E8C816E4E2F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905430A3-9EAE-473D-92C0-E94E0C34BC2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BE59EDCF-58C2-4D52-8B5A-1E33F3DE2AF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65CA9382-68E4-4E18-A494-C7CAFF88907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DDC5433F-57AA-4842-87A0-9C55711798F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5B07C91F-E5B6-4D2A-8E87-240B6143E56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10511D2D-D6B2-4313-9B18-6BD3D6AB6A7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FEAB67FC-699E-473C-B5CD-7AE8AD07ADB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C6D123DA-168F-4C67-9440-AA9BC54A8E3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311392A0-AF4B-4020-B71D-3561619B0D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ECA162FF-6304-49BD-AE37-9E778AF74E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44EDF1A0-14E1-4945-A4E2-0316D76F3B7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5DA5B98E-0937-408B-9830-FE9B54C6894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1B5308D3-0494-48D9-A609-5909BBC749A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0FF4695C-FFE6-4BF8-B5E2-9057F76EA6A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6C1D39D8-DBB1-42E6-8010-40A3FF9DAE2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2A405300-C114-4F8A-9D13-FEE7DB7AE6A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AEF6CFA2-E45B-4BB9-BC53-CC30052B3DC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5DA877BE-446B-4A2C-A45F-E7720446C66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0908970F-7D67-4D8D-85A8-36CD6602D6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3696FC42-5C8A-4E13-81E4-37CB04FC36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240D41CD-28E0-4763-BD51-C0E23F7C42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AC3DCCD5-DE43-43B9-9453-4C3468D6CC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521073F4-31DC-4616-B7F5-FEC2CFFF9EE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A95E9A09-D9B9-482A-B5F8-4FBFA899CEF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64A9216E-419B-4D3D-80BB-5DBA79D536C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7627710A-E3F9-4982-866E-015FFD38B5FE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208451B4-75CF-422E-8E0E-AA52572EEC4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8CEEF204-981A-44F8-A0C5-262FB8E2B56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B57F5B43-C2D0-4985-B3D6-C76A5202CA4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45084A24-1DF6-44D1-8080-3F58B8F4060F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0BE1E9CA-2B53-4791-8A5F-97D86B5F67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5556D5BC-D668-4D52-8E13-C20945B5CA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834BB471-F243-46A7-9797-5F8216D9D2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46ED19B6-9CFF-4B9F-ABDF-2454AD5A80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A0E3C636-6819-4634-A5CB-9E3BC54924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FBC5A03E-9269-41C1-8985-CFEF525E24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76083644-3261-448C-AF17-6EB999CF54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8691D0AC-90D6-436C-8130-83707BB51F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A0707362-268F-4F5A-9FD4-E75CC0D6BC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4A6973D0-3305-4CEA-A726-D312C02ED4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4272E6C9-49FC-4D05-8B6B-6F26057B3A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9F36E468-88E2-4528-8422-12F4FA2232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14BFDAAC-0E8D-4FD0-9151-AF4C0CBF80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4743FDE8-93F2-435E-BF23-7FA43B1873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1193A2EC-C86F-4D05-943F-1BEC9C9E97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103C29DC-4246-4EC4-BC86-988143C197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2DCE660B-CAB5-45D7-AE42-C722F67EBB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054041E9-ADB9-4636-9966-4D3A9C4809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836D7CC7-9A54-4722-AC40-A94E6C6CFA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FD13A7DF-CF08-4518-B615-26ECEB3B41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84E127FD-130F-4630-BC7B-8582DE2F2E7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B5E429E5-3394-47DF-83C0-7359C5CF76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429EE2A3-1C3A-4050-8613-C7CAE01BD6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42FBA969-B142-4E60-9659-1C15FA7ECE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C876D6B2-D4AD-4C52-B7D6-6BA53B9F7F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3DB6C36F-EE95-4C0D-A726-270388F74E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9843A0A6-6933-4FF0-AB0D-E1961CB2A4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19274C33-E0FC-47EA-8BC9-735F604BF8E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0DF58611-39BD-44A4-AC52-40760E0527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30E0EF30-83BD-4A2D-B461-D204AEB7CE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B6CF3C4C-2D57-4890-88EF-17C6D9321D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D59B2571-B5AD-47B3-B558-6D59A9FBA8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9EB631F6-3A2F-4298-A28C-4F0D190193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F0D30188-DC72-423D-8835-74AC04FAD1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26337235-A98E-4B26-8376-BEFE6C5DA1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944A0A8A-2FD6-477E-A081-632B383A0F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D1EDCBFA-02A9-48FE-8997-95CB927579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1F50B744-78B2-4C37-8796-CD729093C0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AB1B547B-7316-4D63-930F-09DB023A3F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4E52C87E-32C1-4A56-AE64-6BA6C42504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67737F0C-9C59-4B7F-B2D2-9A9D8B0011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58BD43FB-F6EF-4E93-B872-0424559AE8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91A03E9F-1B84-4141-B4EA-B2BE1C40FF6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C47BFA5F-FCAF-4877-906B-3F125F29D70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B3861E96-0225-48AE-94A9-0D1A6407061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60950801-FB78-4922-9D8A-2C378568329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20A55453-AE65-4E7B-9FCA-6ACCF5082D28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3640F3B2-4F7A-4232-84FC-206D76AC763B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E2CE27A7-7198-4E86-8E6A-9911B2F9F9D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7E7354E1-DF5F-4702-8CB3-1F42C9E26E0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FB798DD0-3C7F-494D-AEEA-9EC12E3BF0D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19B845D4-0066-437F-BB37-2DDC4768679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F70C0A9C-DB18-4BAC-8612-37F7E922D34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97A8C339-8B54-4C6D-A63E-E80234D6D24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1ADCF7B4-8AE4-4E8A-B9CE-E0588ED8614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F8AD7B42-EDF5-44E6-B4A0-52E72849AB3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1741912D-075E-4B36-B913-F0C46BFED4A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8A076811-EF09-4EC5-87B7-73729597C08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9AF3B616-62C9-4E4C-AE96-41069BAF5D9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A960B13C-6EBC-4794-955D-524A747E643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ADFCBE5A-CAE6-4A32-973C-A9B2F43E7BA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48286FED-15FE-44A2-AC5B-423D43307ED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41BCAF62-4028-4EDE-86A7-66F734928E9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BA74CF7E-45FF-4A9C-ABCC-7FF3B9AA765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A6961C40-65BF-40C1-AF56-598C10F9B07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CF669B8E-D38E-4A34-83CE-6BE884382E2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4932795C-9F2F-4BBA-BD89-912805DD86C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9FE07D23-EFA1-48B2-98D7-C57D324A96F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2266445B-F764-49B4-A81E-E87310D98991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306C7B8C-BBB2-4495-BAD8-83A44C6EA05C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38960124-2C34-4099-A77A-5AFEC8E9832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3E716EE0-ED7D-42A6-AFA0-471B99D1706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B0428555-0571-4B64-B57E-3B1E29BAF05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EF03D2EA-06B7-438E-A7B4-EBFA1F98F49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24FFCFB9-7410-4B38-909C-8195F7E3268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0EBEA2C9-0766-4A75-B4DD-3DF9576CA124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06470712-34B8-46E6-862B-A523475C0952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A1A96DC1-CAB7-4A13-BD11-3EDA67C186D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8323D72E-0709-4C56-96B9-E1FFDF01E4A4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DF8132BA-230A-422E-AAC8-E9244A05AE5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CF50BA6B-8911-4566-8020-471D274E280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9591F100-7A6A-48DD-BC7F-11948DCE36F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733B040B-340B-46E9-A1FD-AD3BF7A6C41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D11F0CF2-2FD2-492E-B5FD-5944924BE56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9DC97F8F-FCCE-4873-936A-DDE50CE8F2D8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390B6337-B0A5-489B-A9A0-C345DC2FED0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3D91B4F2-80CA-4862-A7C0-7B33DEC8AE2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4C384960-EE2D-4757-AD3F-AD054A517ED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05C7DB53-347F-4791-839F-604B2E43FE3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04C414E7-69AB-473B-BEFF-1D61494A1A7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405BF2CD-B2B0-4227-9F56-5C0592CF17F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CB9A3D95-75D8-4B4A-AE34-41929DE785A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9A091635-FD9E-4427-9A8C-2D94D1FAB7B9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E2B65997-6806-4B02-A979-9E521F3EE07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59468082-F3E1-464A-B705-ECD6970E9F0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2269FA17-23B0-4E64-9DE9-694310E4B02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AEAD9AB3-D671-4AB1-B8EB-8FCABB10E98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602079B0-4C76-4ABA-A195-FCB6F0DA6B9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8969DDC6-46AF-4D73-B69D-0D6485BDCD5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B13B1216-B3A0-4867-ABF3-FB17D938F48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A2A22C6A-055B-4BE7-9E39-7C40F61CFE0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12416372-AF8A-48FA-9B75-62AAC44A242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A6637B95-CA94-44B7-AA02-829462071C02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584C139F-0944-4448-ABEB-295340D6879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<sst xmlns="http://schemas.openxmlformats.org/spreadsheetml/2006/main" count="1102" uniqueCount="271">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</sst>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2686124</v>
      </c>
    </row>
    <row r="8" spans="1:3" ht="15" customHeight="1" x14ac:dyDescent="0.25">
      <c r="B8" s="7" t="s">
        <v>106</v>
      </c>
      <c r="C8" s="70">
        <v>0.28699999999999998</v>
      </c>
    </row>
    <row r="9" spans="1:3" ht="15" customHeight="1" x14ac:dyDescent="0.25">
      <c r="B9" s="9" t="s">
        <v>107</v>
      </c>
      <c r="C9" s="71">
        <v>0.28079999999999999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6.3E-2</v>
      </c>
    </row>
    <row r="12" spans="1:3" ht="15" customHeight="1" x14ac:dyDescent="0.25">
      <c r="B12" s="7" t="s">
        <v>109</v>
      </c>
      <c r="C12" s="70">
        <v>0.13</v>
      </c>
    </row>
    <row r="13" spans="1:3" ht="15" customHeight="1" x14ac:dyDescent="0.25">
      <c r="B13" s="7" t="s">
        <v>110</v>
      </c>
      <c r="C13" s="70">
        <v>0.63600000000000001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8.2100000000000006E-2</v>
      </c>
    </row>
    <row r="24" spans="1:3" ht="15" customHeight="1" x14ac:dyDescent="0.25">
      <c r="B24" s="20" t="s">
        <v>102</v>
      </c>
      <c r="C24" s="71">
        <v>0.47659999999999997</v>
      </c>
    </row>
    <row r="25" spans="1:3" ht="15" customHeight="1" x14ac:dyDescent="0.25">
      <c r="B25" s="20" t="s">
        <v>103</v>
      </c>
      <c r="C25" s="71">
        <v>0.3337</v>
      </c>
    </row>
    <row r="26" spans="1:3" ht="15" customHeight="1" x14ac:dyDescent="0.25">
      <c r="B26" s="20" t="s">
        <v>104</v>
      </c>
      <c r="C26" s="71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0.187</v>
      </c>
    </row>
    <row r="30" spans="1:3" ht="14.25" customHeight="1" x14ac:dyDescent="0.25">
      <c r="B30" s="30" t="s">
        <v>76</v>
      </c>
      <c r="C30" s="73">
        <v>2.7000000000000003E-2</v>
      </c>
    </row>
    <row r="31" spans="1:3" ht="14.25" customHeight="1" x14ac:dyDescent="0.25">
      <c r="B31" s="30" t="s">
        <v>77</v>
      </c>
      <c r="C31" s="73">
        <v>9.0999999999999998E-2</v>
      </c>
    </row>
    <row r="32" spans="1:3" ht="14.25" customHeight="1" x14ac:dyDescent="0.25">
      <c r="B32" s="30" t="s">
        <v>78</v>
      </c>
      <c r="C32" s="73">
        <v>0.69499999998509876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38.5</v>
      </c>
    </row>
    <row r="38" spans="1:5" ht="15" customHeight="1" x14ac:dyDescent="0.25">
      <c r="B38" s="16" t="s">
        <v>91</v>
      </c>
      <c r="C38" s="75">
        <v>79.7</v>
      </c>
      <c r="D38" s="17"/>
      <c r="E38" s="18"/>
    </row>
    <row r="39" spans="1:5" ht="15" customHeight="1" x14ac:dyDescent="0.25">
      <c r="B39" s="16" t="s">
        <v>90</v>
      </c>
      <c r="C39" s="75">
        <v>127.2</v>
      </c>
      <c r="D39" s="17"/>
      <c r="E39" s="17"/>
    </row>
    <row r="40" spans="1:5" ht="15" customHeight="1" x14ac:dyDescent="0.25">
      <c r="B40" s="16" t="s">
        <v>171</v>
      </c>
      <c r="C40" s="75">
        <v>1.38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1.9199999999999998E-2</v>
      </c>
      <c r="D45" s="17"/>
    </row>
    <row r="46" spans="1:5" ht="15.75" customHeight="1" x14ac:dyDescent="0.25">
      <c r="B46" s="16" t="s">
        <v>11</v>
      </c>
      <c r="C46" s="71">
        <v>0.1003</v>
      </c>
      <c r="D46" s="17"/>
    </row>
    <row r="47" spans="1:5" ht="15.75" customHeight="1" x14ac:dyDescent="0.25">
      <c r="B47" s="16" t="s">
        <v>12</v>
      </c>
      <c r="C47" s="71">
        <v>0.23170000000000002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3.1501166968449996</v>
      </c>
      <c r="D51" s="17"/>
    </row>
    <row r="52" spans="1:4" ht="15" customHeight="1" x14ac:dyDescent="0.25">
      <c r="B52" s="16" t="s">
        <v>125</v>
      </c>
      <c r="C52" s="76">
        <v>2.8374764246800002</v>
      </c>
    </row>
    <row r="53" spans="1:4" ht="15.75" customHeight="1" x14ac:dyDescent="0.25">
      <c r="B53" s="16" t="s">
        <v>126</v>
      </c>
      <c r="C53" s="76">
        <v>2.8374764246800002</v>
      </c>
    </row>
    <row r="54" spans="1:4" ht="15.75" customHeight="1" x14ac:dyDescent="0.25">
      <c r="B54" s="16" t="s">
        <v>127</v>
      </c>
      <c r="C54" s="76">
        <v>1.8557493232600002</v>
      </c>
    </row>
    <row r="55" spans="1:4" ht="15.75" customHeight="1" x14ac:dyDescent="0.25">
      <c r="B55" s="16" t="s">
        <v>128</v>
      </c>
      <c r="C55" s="76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0.40689612661866142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34.366415838237906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54.628292958829128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43.420880966861567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5.9835997085200238E-2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1.294217562276212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1.294217562276212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1.294217562276212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1.294217562276212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17.312042186323456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17.312042186323456</v>
      </c>
      <c r="E15" s="86" t="s">
        <v>202</v>
      </c>
    </row>
    <row r="16" spans="1:5" ht="15.75" customHeight="1" x14ac:dyDescent="0.25">
      <c r="A16" s="52" t="s">
        <v>57</v>
      </c>
      <c r="B16" s="85">
        <v>9.0000000000000011E-3</v>
      </c>
      <c r="C16" s="85">
        <v>0.95</v>
      </c>
      <c r="D16" s="86">
        <v>0.23813432204986437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0.11</v>
      </c>
      <c r="C18" s="85">
        <v>0.95</v>
      </c>
      <c r="D18" s="87">
        <v>1.1126649011537906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1.1126649011537906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1.1126649011537906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0.64162710769956899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29.476348850423275</v>
      </c>
      <c r="E22" s="86" t="s">
        <v>202</v>
      </c>
    </row>
    <row r="23" spans="1:5" ht="15.75" customHeight="1" x14ac:dyDescent="0.25">
      <c r="A23" s="52" t="s">
        <v>34</v>
      </c>
      <c r="B23" s="85">
        <v>0.122</v>
      </c>
      <c r="C23" s="85">
        <v>0.95</v>
      </c>
      <c r="D23" s="86">
        <v>5.6282823713961951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25.070390436942869</v>
      </c>
      <c r="E24" s="86" t="s">
        <v>202</v>
      </c>
    </row>
    <row r="25" spans="1:5" ht="15.75" customHeight="1" x14ac:dyDescent="0.25">
      <c r="A25" s="52" t="s">
        <v>87</v>
      </c>
      <c r="B25" s="85">
        <v>3.0000000000000001E-3</v>
      </c>
      <c r="C25" s="85">
        <v>0.95</v>
      </c>
      <c r="D25" s="86">
        <v>24.961580227935766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5.5376219397592585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3.7113710846934169</v>
      </c>
      <c r="E27" s="86" t="s">
        <v>202</v>
      </c>
    </row>
    <row r="28" spans="1:5" ht="15.75" customHeight="1" x14ac:dyDescent="0.25">
      <c r="A28" s="52" t="s">
        <v>84</v>
      </c>
      <c r="B28" s="85">
        <v>0.13200000000000001</v>
      </c>
      <c r="C28" s="85">
        <v>0.95</v>
      </c>
      <c r="D28" s="86">
        <v>1.5283269405081317</v>
      </c>
      <c r="E28" s="86" t="s">
        <v>202</v>
      </c>
    </row>
    <row r="29" spans="1:5" ht="15.75" customHeight="1" x14ac:dyDescent="0.25">
      <c r="A29" s="52" t="s">
        <v>58</v>
      </c>
      <c r="B29" s="85">
        <v>0.11</v>
      </c>
      <c r="C29" s="85">
        <v>0.95</v>
      </c>
      <c r="D29" s="86">
        <v>59.64079630542151</v>
      </c>
      <c r="E29" s="86" t="s">
        <v>202</v>
      </c>
    </row>
    <row r="30" spans="1:5" ht="15.75" customHeight="1" x14ac:dyDescent="0.25">
      <c r="A30" s="52" t="s">
        <v>67</v>
      </c>
      <c r="B30" s="85">
        <v>0.20100000000000001</v>
      </c>
      <c r="C30" s="85">
        <v>0.95</v>
      </c>
      <c r="D30" s="86">
        <v>4.2824862757030893</v>
      </c>
      <c r="E30" s="86" t="s">
        <v>202</v>
      </c>
    </row>
    <row r="31" spans="1:5" ht="15.75" customHeight="1" x14ac:dyDescent="0.25">
      <c r="A31" s="52" t="s">
        <v>28</v>
      </c>
      <c r="B31" s="85">
        <v>0.09</v>
      </c>
      <c r="C31" s="85">
        <v>0.95</v>
      </c>
      <c r="D31" s="86">
        <v>0.4330445396250559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0.34700000000000003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0.23499999999999999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0.317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0.20399999999999999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4.7393339240000785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0.46237714129740198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0.20713932200000001</v>
      </c>
      <c r="C3" s="26">
        <f>frac_mam_1_5months * 2.6</f>
        <v>0.20713932200000001</v>
      </c>
      <c r="D3" s="26">
        <f>frac_mam_6_11months * 2.6</f>
        <v>0.28611787099999997</v>
      </c>
      <c r="E3" s="26">
        <f>frac_mam_12_23months * 2.6</f>
        <v>0.2157089402</v>
      </c>
      <c r="F3" s="26">
        <f>frac_mam_24_59months * 2.6</f>
        <v>0.27151061686666667</v>
      </c>
    </row>
    <row r="4" spans="1:6" ht="15.75" customHeight="1" x14ac:dyDescent="0.25">
      <c r="A4" s="3" t="s">
        <v>66</v>
      </c>
      <c r="B4" s="26">
        <f>frac_sam_1month * 2.6</f>
        <v>0.19173689599999999</v>
      </c>
      <c r="C4" s="26">
        <f>frac_sam_1_5months * 2.6</f>
        <v>0.19173689599999999</v>
      </c>
      <c r="D4" s="26">
        <f>frac_sam_6_11months * 2.6</f>
        <v>0.19641087700000001</v>
      </c>
      <c r="E4" s="26">
        <f>frac_sam_12_23months * 2.6</f>
        <v>0.11843965380000002</v>
      </c>
      <c r="F4" s="26">
        <f>frac_sam_24_59months * 2.6</f>
        <v>0.12734405579999999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634739.32776499994</v>
      </c>
      <c r="C2" s="78">
        <v>808432</v>
      </c>
      <c r="D2" s="78">
        <v>1209382</v>
      </c>
      <c r="E2" s="78">
        <v>4434042</v>
      </c>
      <c r="F2" s="78">
        <v>3286225</v>
      </c>
      <c r="G2" s="22">
        <f t="shared" ref="G2:G40" si="0">C2+D2+E2+F2</f>
        <v>9738081</v>
      </c>
      <c r="H2" s="22">
        <f t="shared" ref="H2:H40" si="1">(B2 + stillbirth*B2/(1000-stillbirth))/(1-abortion)</f>
        <v>756439.01940139302</v>
      </c>
      <c r="I2" s="22">
        <f>G2-H2</f>
        <v>8981641.9805986062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648413.09866666666</v>
      </c>
      <c r="C3" s="78">
        <v>827000</v>
      </c>
      <c r="D3" s="78">
        <v>1253000</v>
      </c>
      <c r="E3" s="78">
        <v>4546000</v>
      </c>
      <c r="F3" s="78">
        <v>3346000</v>
      </c>
      <c r="G3" s="22">
        <f t="shared" si="0"/>
        <v>9972000</v>
      </c>
      <c r="H3" s="22">
        <f t="shared" si="1"/>
        <v>772734.48653243796</v>
      </c>
      <c r="I3" s="22">
        <f t="shared" ref="I3:I15" si="3">G3-H3</f>
        <v>9199265.5134675615</v>
      </c>
    </row>
    <row r="4" spans="1:9" ht="15.75" customHeight="1" x14ac:dyDescent="0.25">
      <c r="A4" s="7">
        <f t="shared" si="2"/>
        <v>2019</v>
      </c>
      <c r="B4" s="77">
        <v>662398.29200000002</v>
      </c>
      <c r="C4" s="78">
        <v>848000</v>
      </c>
      <c r="D4" s="78">
        <v>1299000</v>
      </c>
      <c r="E4" s="78">
        <v>4648000</v>
      </c>
      <c r="F4" s="78">
        <v>3411000</v>
      </c>
      <c r="G4" s="22">
        <f t="shared" si="0"/>
        <v>10206000</v>
      </c>
      <c r="H4" s="22">
        <f t="shared" si="1"/>
        <v>789401.08566763799</v>
      </c>
      <c r="I4" s="22">
        <f t="shared" si="3"/>
        <v>9416598.9143323619</v>
      </c>
    </row>
    <row r="5" spans="1:9" ht="15.75" customHeight="1" x14ac:dyDescent="0.25">
      <c r="A5" s="7">
        <f t="shared" si="2"/>
        <v>2020</v>
      </c>
      <c r="B5" s="77">
        <v>676699.89</v>
      </c>
      <c r="C5" s="78">
        <v>871000</v>
      </c>
      <c r="D5" s="78">
        <v>1345000</v>
      </c>
      <c r="E5" s="78">
        <v>4733000</v>
      </c>
      <c r="F5" s="78">
        <v>3485000</v>
      </c>
      <c r="G5" s="22">
        <f t="shared" si="0"/>
        <v>10434000</v>
      </c>
      <c r="H5" s="22">
        <f t="shared" si="1"/>
        <v>806444.75429470337</v>
      </c>
      <c r="I5" s="22">
        <f t="shared" si="3"/>
        <v>9627555.2457052972</v>
      </c>
    </row>
    <row r="6" spans="1:9" ht="15.75" customHeight="1" x14ac:dyDescent="0.25">
      <c r="A6" s="7">
        <f t="shared" si="2"/>
        <v>2021</v>
      </c>
      <c r="B6" s="77">
        <v>690231.79419999989</v>
      </c>
      <c r="C6" s="78">
        <v>895000</v>
      </c>
      <c r="D6" s="78">
        <v>1389000</v>
      </c>
      <c r="E6" s="78">
        <v>4804000</v>
      </c>
      <c r="F6" s="78">
        <v>3566000</v>
      </c>
      <c r="G6" s="22">
        <f t="shared" si="0"/>
        <v>10654000</v>
      </c>
      <c r="H6" s="22">
        <f t="shared" si="1"/>
        <v>822571.15437097405</v>
      </c>
      <c r="I6" s="22">
        <f t="shared" si="3"/>
        <v>9831428.8456290253</v>
      </c>
    </row>
    <row r="7" spans="1:9" ht="15.75" customHeight="1" x14ac:dyDescent="0.25">
      <c r="A7" s="7">
        <f t="shared" si="2"/>
        <v>2022</v>
      </c>
      <c r="B7" s="77">
        <v>703984.58879999991</v>
      </c>
      <c r="C7" s="78">
        <v>923000</v>
      </c>
      <c r="D7" s="78">
        <v>1435000</v>
      </c>
      <c r="E7" s="78">
        <v>4858000</v>
      </c>
      <c r="F7" s="78">
        <v>3653000</v>
      </c>
      <c r="G7" s="22">
        <f t="shared" si="0"/>
        <v>10869000</v>
      </c>
      <c r="H7" s="22">
        <f t="shared" si="1"/>
        <v>838960.79655351164</v>
      </c>
      <c r="I7" s="22">
        <f t="shared" si="3"/>
        <v>10030039.203446489</v>
      </c>
    </row>
    <row r="8" spans="1:9" ht="15.75" customHeight="1" x14ac:dyDescent="0.25">
      <c r="A8" s="7">
        <f t="shared" si="2"/>
        <v>2023</v>
      </c>
      <c r="B8" s="77">
        <v>717899.0273999999</v>
      </c>
      <c r="C8" s="78">
        <v>952000</v>
      </c>
      <c r="D8" s="78">
        <v>1482000</v>
      </c>
      <c r="E8" s="78">
        <v>4900000</v>
      </c>
      <c r="F8" s="78">
        <v>3747000</v>
      </c>
      <c r="G8" s="22">
        <f t="shared" si="0"/>
        <v>11081000</v>
      </c>
      <c r="H8" s="22">
        <f t="shared" si="1"/>
        <v>855543.07502547314</v>
      </c>
      <c r="I8" s="22">
        <f t="shared" si="3"/>
        <v>10225456.924974527</v>
      </c>
    </row>
    <row r="9" spans="1:9" ht="15.75" customHeight="1" x14ac:dyDescent="0.25">
      <c r="A9" s="7">
        <f t="shared" si="2"/>
        <v>2024</v>
      </c>
      <c r="B9" s="77">
        <v>731957.88159999973</v>
      </c>
      <c r="C9" s="78">
        <v>982000</v>
      </c>
      <c r="D9" s="78">
        <v>1530000</v>
      </c>
      <c r="E9" s="78">
        <v>4930000</v>
      </c>
      <c r="F9" s="78">
        <v>3846000</v>
      </c>
      <c r="G9" s="22">
        <f t="shared" si="0"/>
        <v>11288000</v>
      </c>
      <c r="H9" s="22">
        <f t="shared" si="1"/>
        <v>872297.45815531805</v>
      </c>
      <c r="I9" s="22">
        <f t="shared" si="3"/>
        <v>10415702.541844683</v>
      </c>
    </row>
    <row r="10" spans="1:9" ht="15.75" customHeight="1" x14ac:dyDescent="0.25">
      <c r="A10" s="7">
        <f t="shared" si="2"/>
        <v>2025</v>
      </c>
      <c r="B10" s="77">
        <v>746024.022</v>
      </c>
      <c r="C10" s="78">
        <v>1011000</v>
      </c>
      <c r="D10" s="78">
        <v>1578000</v>
      </c>
      <c r="E10" s="78">
        <v>4953000</v>
      </c>
      <c r="F10" s="78">
        <v>3950000</v>
      </c>
      <c r="G10" s="22">
        <f t="shared" si="0"/>
        <v>11492000</v>
      </c>
      <c r="H10" s="22">
        <f t="shared" si="1"/>
        <v>889060.52448114974</v>
      </c>
      <c r="I10" s="22">
        <f t="shared" si="3"/>
        <v>10602939.475518851</v>
      </c>
    </row>
    <row r="11" spans="1:9" ht="15.75" customHeight="1" x14ac:dyDescent="0.25">
      <c r="A11" s="7">
        <f t="shared" si="2"/>
        <v>2026</v>
      </c>
      <c r="B11" s="77">
        <v>759535.45919999992</v>
      </c>
      <c r="C11" s="78">
        <v>1039000</v>
      </c>
      <c r="D11" s="78">
        <v>1625000</v>
      </c>
      <c r="E11" s="78">
        <v>4965000</v>
      </c>
      <c r="F11" s="78">
        <v>4054000</v>
      </c>
      <c r="G11" s="22">
        <f t="shared" si="0"/>
        <v>11683000</v>
      </c>
      <c r="H11" s="22">
        <f t="shared" si="1"/>
        <v>905162.53338338598</v>
      </c>
      <c r="I11" s="22">
        <f t="shared" si="3"/>
        <v>10777837.466616614</v>
      </c>
    </row>
    <row r="12" spans="1:9" ht="15.75" customHeight="1" x14ac:dyDescent="0.25">
      <c r="A12" s="7">
        <f t="shared" si="2"/>
        <v>2027</v>
      </c>
      <c r="B12" s="77">
        <v>773031.04119999986</v>
      </c>
      <c r="C12" s="78">
        <v>1066000</v>
      </c>
      <c r="D12" s="78">
        <v>1672000</v>
      </c>
      <c r="E12" s="78">
        <v>4969000</v>
      </c>
      <c r="F12" s="78">
        <v>4162000</v>
      </c>
      <c r="G12" s="22">
        <f t="shared" si="0"/>
        <v>11869000</v>
      </c>
      <c r="H12" s="22">
        <f t="shared" si="1"/>
        <v>921245.64714014158</v>
      </c>
      <c r="I12" s="22">
        <f t="shared" si="3"/>
        <v>10947754.352859858</v>
      </c>
    </row>
    <row r="13" spans="1:9" ht="15.75" customHeight="1" x14ac:dyDescent="0.25">
      <c r="A13" s="7">
        <f t="shared" si="2"/>
        <v>2028</v>
      </c>
      <c r="B13" s="77">
        <v>786494.89919999975</v>
      </c>
      <c r="C13" s="78">
        <v>1094000</v>
      </c>
      <c r="D13" s="78">
        <v>1721000</v>
      </c>
      <c r="E13" s="78">
        <v>4967000</v>
      </c>
      <c r="F13" s="78">
        <v>4269000</v>
      </c>
      <c r="G13" s="22">
        <f t="shared" si="0"/>
        <v>12051000</v>
      </c>
      <c r="H13" s="22">
        <f t="shared" si="1"/>
        <v>937290.95439838374</v>
      </c>
      <c r="I13" s="22">
        <f t="shared" si="3"/>
        <v>11113709.045601616</v>
      </c>
    </row>
    <row r="14" spans="1:9" ht="15.75" customHeight="1" x14ac:dyDescent="0.25">
      <c r="A14" s="7">
        <f t="shared" si="2"/>
        <v>2029</v>
      </c>
      <c r="B14" s="77">
        <v>799872.96059999964</v>
      </c>
      <c r="C14" s="78">
        <v>1124000</v>
      </c>
      <c r="D14" s="78">
        <v>1771000</v>
      </c>
      <c r="E14" s="78">
        <v>4963000</v>
      </c>
      <c r="F14" s="78">
        <v>4367000</v>
      </c>
      <c r="G14" s="22">
        <f t="shared" si="0"/>
        <v>12225000</v>
      </c>
      <c r="H14" s="22">
        <f t="shared" si="1"/>
        <v>953234.01512307569</v>
      </c>
      <c r="I14" s="22">
        <f t="shared" si="3"/>
        <v>11271765.984876925</v>
      </c>
    </row>
    <row r="15" spans="1:9" ht="15.75" customHeight="1" x14ac:dyDescent="0.25">
      <c r="A15" s="7">
        <f t="shared" si="2"/>
        <v>2030</v>
      </c>
      <c r="B15" s="77">
        <v>813226.20499999996</v>
      </c>
      <c r="C15" s="78">
        <v>1157000</v>
      </c>
      <c r="D15" s="78">
        <v>1823000</v>
      </c>
      <c r="E15" s="78">
        <v>4960000</v>
      </c>
      <c r="F15" s="78">
        <v>4453000</v>
      </c>
      <c r="G15" s="22">
        <f t="shared" si="0"/>
        <v>12393000</v>
      </c>
      <c r="H15" s="22">
        <f t="shared" si="1"/>
        <v>969147.50064055575</v>
      </c>
      <c r="I15" s="22">
        <f t="shared" si="3"/>
        <v>11423852.499359444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131.09049415157637</v>
      </c>
      <c r="I17" s="22">
        <f t="shared" si="4"/>
        <v>-131.09049415157637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7.2620681999999992E-2</v>
      </c>
    </row>
    <row r="4" spans="1:8" ht="15.75" customHeight="1" x14ac:dyDescent="0.25">
      <c r="B4" s="24" t="s">
        <v>7</v>
      </c>
      <c r="C4" s="79">
        <v>0.16320467971388869</v>
      </c>
    </row>
    <row r="5" spans="1:8" ht="15.75" customHeight="1" x14ac:dyDescent="0.25">
      <c r="B5" s="24" t="s">
        <v>8</v>
      </c>
      <c r="C5" s="79">
        <v>0.11106470855018974</v>
      </c>
    </row>
    <row r="6" spans="1:8" ht="15.75" customHeight="1" x14ac:dyDescent="0.25">
      <c r="B6" s="24" t="s">
        <v>10</v>
      </c>
      <c r="C6" s="79">
        <v>0.14110014165460577</v>
      </c>
    </row>
    <row r="7" spans="1:8" ht="15.75" customHeight="1" x14ac:dyDescent="0.25">
      <c r="B7" s="24" t="s">
        <v>13</v>
      </c>
      <c r="C7" s="79">
        <v>0.13670967490056085</v>
      </c>
    </row>
    <row r="8" spans="1:8" ht="15.75" customHeight="1" x14ac:dyDescent="0.25">
      <c r="B8" s="24" t="s">
        <v>14</v>
      </c>
      <c r="C8" s="79">
        <v>5.60362105753585E-2</v>
      </c>
    </row>
    <row r="9" spans="1:8" ht="15.75" customHeight="1" x14ac:dyDescent="0.25">
      <c r="B9" s="24" t="s">
        <v>27</v>
      </c>
      <c r="C9" s="79">
        <v>4.3260200267963581E-2</v>
      </c>
    </row>
    <row r="10" spans="1:8" ht="15.75" customHeight="1" x14ac:dyDescent="0.25">
      <c r="B10" s="24" t="s">
        <v>15</v>
      </c>
      <c r="C10" s="79">
        <v>0.27600370233743288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0.17407095625281299</v>
      </c>
      <c r="D14" s="79">
        <v>0.17407095625281299</v>
      </c>
      <c r="E14" s="79">
        <v>0.131574530662418</v>
      </c>
      <c r="F14" s="79">
        <v>0.131574530662418</v>
      </c>
    </row>
    <row r="15" spans="1:8" ht="15.75" customHeight="1" x14ac:dyDescent="0.25">
      <c r="B15" s="24" t="s">
        <v>16</v>
      </c>
      <c r="C15" s="79">
        <v>0.223550741425428</v>
      </c>
      <c r="D15" s="79">
        <v>0.223550741425428</v>
      </c>
      <c r="E15" s="79">
        <v>0.11311814675786699</v>
      </c>
      <c r="F15" s="79">
        <v>0.11311814675786699</v>
      </c>
    </row>
    <row r="16" spans="1:8" ht="15.75" customHeight="1" x14ac:dyDescent="0.25">
      <c r="B16" s="24" t="s">
        <v>17</v>
      </c>
      <c r="C16" s="79">
        <v>4.1504540487360499E-2</v>
      </c>
      <c r="D16" s="79">
        <v>4.1504540487360499E-2</v>
      </c>
      <c r="E16" s="79">
        <v>3.1712396292504497E-2</v>
      </c>
      <c r="F16" s="79">
        <v>3.1712396292504497E-2</v>
      </c>
    </row>
    <row r="17" spans="1:8" ht="15.75" customHeight="1" x14ac:dyDescent="0.25">
      <c r="B17" s="24" t="s">
        <v>18</v>
      </c>
      <c r="C17" s="79">
        <v>7.5271353034729704E-2</v>
      </c>
      <c r="D17" s="79">
        <v>7.5271353034729704E-2</v>
      </c>
      <c r="E17" s="79">
        <v>0.21157189892984798</v>
      </c>
      <c r="F17" s="79">
        <v>0.21157189892984798</v>
      </c>
    </row>
    <row r="18" spans="1:8" ht="15.75" customHeight="1" x14ac:dyDescent="0.25">
      <c r="B18" s="24" t="s">
        <v>19</v>
      </c>
      <c r="C18" s="79">
        <v>1.12616511577056E-2</v>
      </c>
      <c r="D18" s="79">
        <v>1.12616511577056E-2</v>
      </c>
      <c r="E18" s="79">
        <v>8.5979959236217492E-3</v>
      </c>
      <c r="F18" s="79">
        <v>8.5979959236217492E-3</v>
      </c>
    </row>
    <row r="19" spans="1:8" ht="15.75" customHeight="1" x14ac:dyDescent="0.25">
      <c r="B19" s="24" t="s">
        <v>20</v>
      </c>
      <c r="C19" s="79">
        <v>0.119345684876181</v>
      </c>
      <c r="D19" s="79">
        <v>0.119345684876181</v>
      </c>
      <c r="E19" s="79">
        <v>0.143383905659594</v>
      </c>
      <c r="F19" s="79">
        <v>0.143383905659594</v>
      </c>
    </row>
    <row r="20" spans="1:8" ht="15.75" customHeight="1" x14ac:dyDescent="0.25">
      <c r="B20" s="24" t="s">
        <v>21</v>
      </c>
      <c r="C20" s="79">
        <v>1.2732400719904099E-2</v>
      </c>
      <c r="D20" s="79">
        <v>1.2732400719904099E-2</v>
      </c>
      <c r="E20" s="79">
        <v>7.2028323515486202E-3</v>
      </c>
      <c r="F20" s="79">
        <v>7.2028323515486202E-3</v>
      </c>
    </row>
    <row r="21" spans="1:8" ht="15.75" customHeight="1" x14ac:dyDescent="0.25">
      <c r="B21" s="24" t="s">
        <v>22</v>
      </c>
      <c r="C21" s="79">
        <v>3.1178257066028402E-2</v>
      </c>
      <c r="D21" s="79">
        <v>3.1178257066028402E-2</v>
      </c>
      <c r="E21" s="79">
        <v>9.0817419923227394E-2</v>
      </c>
      <c r="F21" s="79">
        <v>9.0817419923227394E-2</v>
      </c>
    </row>
    <row r="22" spans="1:8" ht="15.75" customHeight="1" x14ac:dyDescent="0.25">
      <c r="B22" s="24" t="s">
        <v>23</v>
      </c>
      <c r="C22" s="79">
        <v>0.31108441497984973</v>
      </c>
      <c r="D22" s="79">
        <v>0.31108441497984973</v>
      </c>
      <c r="E22" s="79">
        <v>0.26202087349937075</v>
      </c>
      <c r="F22" s="79">
        <v>0.26202087349937075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8.9499999999999996E-2</v>
      </c>
    </row>
    <row r="27" spans="1:8" ht="15.75" customHeight="1" x14ac:dyDescent="0.25">
      <c r="B27" s="24" t="s">
        <v>39</v>
      </c>
      <c r="C27" s="79">
        <v>8.8000000000000005E-3</v>
      </c>
    </row>
    <row r="28" spans="1:8" ht="15.75" customHeight="1" x14ac:dyDescent="0.25">
      <c r="B28" s="24" t="s">
        <v>40</v>
      </c>
      <c r="C28" s="79">
        <v>0.15710000000000002</v>
      </c>
    </row>
    <row r="29" spans="1:8" ht="15.75" customHeight="1" x14ac:dyDescent="0.25">
      <c r="B29" s="24" t="s">
        <v>41</v>
      </c>
      <c r="C29" s="79">
        <v>0.16940000000000002</v>
      </c>
    </row>
    <row r="30" spans="1:8" ht="15.75" customHeight="1" x14ac:dyDescent="0.25">
      <c r="B30" s="24" t="s">
        <v>42</v>
      </c>
      <c r="C30" s="79">
        <v>0.10539999999999999</v>
      </c>
    </row>
    <row r="31" spans="1:8" ht="15.75" customHeight="1" x14ac:dyDescent="0.25">
      <c r="B31" s="24" t="s">
        <v>43</v>
      </c>
      <c r="C31" s="79">
        <v>0.10970000000000001</v>
      </c>
    </row>
    <row r="32" spans="1:8" ht="15.75" customHeight="1" x14ac:dyDescent="0.25">
      <c r="B32" s="24" t="s">
        <v>44</v>
      </c>
      <c r="C32" s="79">
        <v>1.89E-2</v>
      </c>
    </row>
    <row r="33" spans="2:3" ht="15.75" customHeight="1" x14ac:dyDescent="0.25">
      <c r="B33" s="24" t="s">
        <v>45</v>
      </c>
      <c r="C33" s="79">
        <v>8.4600000000000009E-2</v>
      </c>
    </row>
    <row r="34" spans="2:3" ht="15.75" customHeight="1" x14ac:dyDescent="0.25">
      <c r="B34" s="24" t="s">
        <v>46</v>
      </c>
      <c r="C34" s="79">
        <v>0.25659999999999999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0.73335771091045698</v>
      </c>
      <c r="D2" s="80">
        <v>0.73335771091045698</v>
      </c>
      <c r="E2" s="80">
        <v>0.70980823092169565</v>
      </c>
      <c r="F2" s="80">
        <v>0.52089994655310645</v>
      </c>
      <c r="G2" s="80">
        <v>0.38570841060705213</v>
      </c>
    </row>
    <row r="3" spans="1:15" ht="15.75" customHeight="1" x14ac:dyDescent="0.25">
      <c r="A3" s="5"/>
      <c r="B3" s="11" t="s">
        <v>118</v>
      </c>
      <c r="C3" s="80">
        <v>0.15191761820648814</v>
      </c>
      <c r="D3" s="80">
        <v>0.15191761820648814</v>
      </c>
      <c r="E3" s="80">
        <v>0.16701370139334015</v>
      </c>
      <c r="F3" s="80">
        <v>0.24542401327982899</v>
      </c>
      <c r="G3" s="80">
        <v>0.30996930452421279</v>
      </c>
    </row>
    <row r="4" spans="1:15" ht="15.75" customHeight="1" x14ac:dyDescent="0.25">
      <c r="A4" s="5"/>
      <c r="B4" s="11" t="s">
        <v>116</v>
      </c>
      <c r="C4" s="81">
        <v>6.0985219785202861E-2</v>
      </c>
      <c r="D4" s="81">
        <v>6.0985219785202861E-2</v>
      </c>
      <c r="E4" s="81">
        <v>6.9438616587112173E-2</v>
      </c>
      <c r="F4" s="81">
        <v>0.10264838973747017</v>
      </c>
      <c r="G4" s="81">
        <v>0.12197043957040572</v>
      </c>
    </row>
    <row r="5" spans="1:15" ht="15.75" customHeight="1" x14ac:dyDescent="0.25">
      <c r="A5" s="5"/>
      <c r="B5" s="11" t="s">
        <v>119</v>
      </c>
      <c r="C5" s="81">
        <v>5.373945109785204E-2</v>
      </c>
      <c r="D5" s="81">
        <v>5.373945109785204E-2</v>
      </c>
      <c r="E5" s="81">
        <v>5.373945109785204E-2</v>
      </c>
      <c r="F5" s="81">
        <v>0.1310276504295943</v>
      </c>
      <c r="G5" s="81">
        <v>0.18235184529832937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0.63840916754098365</v>
      </c>
      <c r="D8" s="80">
        <v>0.63840916754098365</v>
      </c>
      <c r="E8" s="80">
        <v>0.57724269528279182</v>
      </c>
      <c r="F8" s="80">
        <v>0.65816047889791185</v>
      </c>
      <c r="G8" s="80">
        <v>0.63113227940690697</v>
      </c>
    </row>
    <row r="9" spans="1:15" ht="15.75" customHeight="1" x14ac:dyDescent="0.25">
      <c r="B9" s="7" t="s">
        <v>121</v>
      </c>
      <c r="C9" s="80">
        <v>0.20817690245901643</v>
      </c>
      <c r="D9" s="80">
        <v>0.20817690245901643</v>
      </c>
      <c r="E9" s="80">
        <v>0.23716932471720817</v>
      </c>
      <c r="F9" s="80">
        <v>0.21332083110208822</v>
      </c>
      <c r="G9" s="80">
        <v>0.21546207725975977</v>
      </c>
    </row>
    <row r="10" spans="1:15" ht="15.75" customHeight="1" x14ac:dyDescent="0.25">
      <c r="B10" s="7" t="s">
        <v>122</v>
      </c>
      <c r="C10" s="81">
        <v>7.9668970000000006E-2</v>
      </c>
      <c r="D10" s="81">
        <v>7.9668970000000006E-2</v>
      </c>
      <c r="E10" s="81">
        <v>0.11004533499999999</v>
      </c>
      <c r="F10" s="81">
        <v>8.2964976999999995E-2</v>
      </c>
      <c r="G10" s="81">
        <v>0.10442716033333334</v>
      </c>
    </row>
    <row r="11" spans="1:15" ht="15.75" customHeight="1" x14ac:dyDescent="0.25">
      <c r="B11" s="7" t="s">
        <v>123</v>
      </c>
      <c r="C11" s="81">
        <v>7.3744959999999998E-2</v>
      </c>
      <c r="D11" s="81">
        <v>7.3744959999999998E-2</v>
      </c>
      <c r="E11" s="81">
        <v>7.5542645000000005E-2</v>
      </c>
      <c r="F11" s="81">
        <v>4.5553713000000003E-2</v>
      </c>
      <c r="G11" s="81">
        <v>4.8978482999999996E-2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0.74150201124999993</v>
      </c>
      <c r="D14" s="82">
        <v>0.73545943398099989</v>
      </c>
      <c r="E14" s="82">
        <v>0.73545943398099989</v>
      </c>
      <c r="F14" s="82">
        <v>0.55012899585999997</v>
      </c>
      <c r="G14" s="82">
        <v>0.55012899585999997</v>
      </c>
      <c r="H14" s="83">
        <v>0.46799999999999997</v>
      </c>
      <c r="I14" s="83">
        <v>0.46799999999999997</v>
      </c>
      <c r="J14" s="83">
        <v>0.46799999999999997</v>
      </c>
      <c r="K14" s="83">
        <v>0.46799999999999997</v>
      </c>
      <c r="L14" s="83">
        <v>0.45554192316699998</v>
      </c>
      <c r="M14" s="83">
        <v>0.42926759167699996</v>
      </c>
      <c r="N14" s="83">
        <v>0.38362000160449999</v>
      </c>
      <c r="O14" s="83">
        <v>0.36969581662100004</v>
      </c>
    </row>
    <row r="15" spans="1:15" ht="15.75" customHeight="1" x14ac:dyDescent="0.25">
      <c r="B15" s="16" t="s">
        <v>68</v>
      </c>
      <c r="C15" s="80">
        <f>iron_deficiency_anaemia*C14</f>
        <v>0.30171429625757207</v>
      </c>
      <c r="D15" s="80">
        <f t="shared" ref="D15:O15" si="0">iron_deficiency_anaemia*D14</f>
        <v>0.29925559497202198</v>
      </c>
      <c r="E15" s="80">
        <f t="shared" si="0"/>
        <v>0.29925559497202198</v>
      </c>
      <c r="F15" s="80">
        <f t="shared" si="0"/>
        <v>0.22384535755604762</v>
      </c>
      <c r="G15" s="80">
        <f t="shared" si="0"/>
        <v>0.22384535755604762</v>
      </c>
      <c r="H15" s="80">
        <f t="shared" si="0"/>
        <v>0.19042738725753353</v>
      </c>
      <c r="I15" s="80">
        <f t="shared" si="0"/>
        <v>0.19042738725753353</v>
      </c>
      <c r="J15" s="80">
        <f t="shared" si="0"/>
        <v>0.19042738725753353</v>
      </c>
      <c r="K15" s="80">
        <f t="shared" si="0"/>
        <v>0.19042738725753353</v>
      </c>
      <c r="L15" s="80">
        <f t="shared" si="0"/>
        <v>0.18535824404906817</v>
      </c>
      <c r="M15" s="80">
        <f t="shared" si="0"/>
        <v>0.17466732033629243</v>
      </c>
      <c r="N15" s="80">
        <f t="shared" si="0"/>
        <v>0.15609349274631573</v>
      </c>
      <c r="O15" s="80">
        <f t="shared" si="0"/>
        <v>0.15042779581020788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0.153</v>
      </c>
      <c r="D2" s="81">
        <v>8.8000000000000009E-2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0.22500000000000001</v>
      </c>
      <c r="D3" s="81">
        <v>0.152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0.55600000000000005</v>
      </c>
      <c r="D4" s="81">
        <v>0.67200000000000004</v>
      </c>
      <c r="E4" s="81">
        <v>0.80400000000000005</v>
      </c>
      <c r="F4" s="81">
        <v>0.43200000000000005</v>
      </c>
      <c r="G4" s="81">
        <v>0</v>
      </c>
    </row>
    <row r="5" spans="1:7" x14ac:dyDescent="0.25">
      <c r="B5" s="43" t="s">
        <v>169</v>
      </c>
      <c r="C5" s="80">
        <f>1-SUM(C2:C4)</f>
        <v>6.5999999999999948E-2</v>
      </c>
      <c r="D5" s="80">
        <f>1-SUM(D2:D4)</f>
        <v>8.7999999999999967E-2</v>
      </c>
      <c r="E5" s="80">
        <f>1-SUM(E2:E4)</f>
        <v>0.19599999999999995</v>
      </c>
      <c r="F5" s="80">
        <f>1-SUM(F2:F4)</f>
        <v>0.56799999999999995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0.33749000000000001</v>
      </c>
      <c r="D2" s="144">
        <v>0.33709000000000006</v>
      </c>
      <c r="E2" s="144">
        <v>0.33607999999999999</v>
      </c>
      <c r="F2" s="144">
        <v>0.33453000000000005</v>
      </c>
      <c r="G2" s="144">
        <v>0.33250999999999997</v>
      </c>
      <c r="H2" s="144">
        <v>0.32949000000000001</v>
      </c>
      <c r="I2" s="144">
        <v>0.32650000000000001</v>
      </c>
      <c r="J2" s="144">
        <v>0.32357999999999998</v>
      </c>
      <c r="K2" s="144">
        <v>0.32071</v>
      </c>
      <c r="L2" s="144">
        <v>0.31792000000000004</v>
      </c>
      <c r="M2" s="144">
        <v>0.31519999999999998</v>
      </c>
      <c r="N2" s="144">
        <v>0.3125</v>
      </c>
      <c r="O2" s="144">
        <v>0.30982999999999999</v>
      </c>
      <c r="P2" s="144">
        <v>0.30719999999999997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0.12619999999999998</v>
      </c>
      <c r="D4" s="144">
        <v>0.12356</v>
      </c>
      <c r="E4" s="144">
        <v>0.1211</v>
      </c>
      <c r="F4" s="144">
        <v>0.11882999999999999</v>
      </c>
      <c r="G4" s="144">
        <v>0.1167</v>
      </c>
      <c r="H4" s="144">
        <v>0.11486</v>
      </c>
      <c r="I4" s="144">
        <v>0.11305</v>
      </c>
      <c r="J4" s="144">
        <v>0.11127000000000001</v>
      </c>
      <c r="K4" s="144">
        <v>0.10952000000000001</v>
      </c>
      <c r="L4" s="144">
        <v>0.10779999999999999</v>
      </c>
      <c r="M4" s="144">
        <v>0.10611000000000001</v>
      </c>
      <c r="N4" s="144">
        <v>0.10445</v>
      </c>
      <c r="O4" s="144">
        <v>0.10282999999999999</v>
      </c>
      <c r="P4" s="144">
        <v>0.10125000000000001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0.23896838339400167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0.19042738725753353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0.16396220883352861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9.8833333333333342E-2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0.55600000000000005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102.503</v>
      </c>
      <c r="D13" s="143">
        <v>99.537000000000006</v>
      </c>
      <c r="E13" s="143">
        <v>96.691999999999993</v>
      </c>
      <c r="F13" s="143">
        <v>94.028000000000006</v>
      </c>
      <c r="G13" s="143">
        <v>91.426000000000002</v>
      </c>
      <c r="H13" s="143">
        <v>88.950999999999993</v>
      </c>
      <c r="I13" s="143">
        <v>86.54</v>
      </c>
      <c r="J13" s="143">
        <v>84.265000000000001</v>
      </c>
      <c r="K13" s="143">
        <v>82.067999999999998</v>
      </c>
      <c r="L13" s="143">
        <v>79.963999999999999</v>
      </c>
      <c r="M13" s="143">
        <v>78.087999999999994</v>
      </c>
      <c r="N13" s="143">
        <v>75.998000000000005</v>
      </c>
      <c r="O13" s="143">
        <v>74.204999999999998</v>
      </c>
      <c r="P13" s="143">
        <v>72.484999999999999</v>
      </c>
    </row>
    <row r="14" spans="1:16" x14ac:dyDescent="0.25">
      <c r="B14" s="16" t="s">
        <v>170</v>
      </c>
      <c r="C14" s="143">
        <f>maternal_mortality</f>
        <v>1.38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0.28699999999999998</v>
      </c>
      <c r="E2" s="92">
        <f>food_insecure</f>
        <v>0.28699999999999998</v>
      </c>
      <c r="F2" s="92">
        <f>food_insecure</f>
        <v>0.28699999999999998</v>
      </c>
      <c r="G2" s="92">
        <f>food_insecure</f>
        <v>0.28699999999999998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0.28699999999999998</v>
      </c>
      <c r="F5" s="92">
        <f>food_insecure</f>
        <v>0.28699999999999998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0.12115833449403844</v>
      </c>
      <c r="D7" s="92">
        <f>diarrhoea_1_5mo/26</f>
        <v>0.10913370864153847</v>
      </c>
      <c r="E7" s="92">
        <f>diarrhoea_6_11mo/26</f>
        <v>0.10913370864153847</v>
      </c>
      <c r="F7" s="92">
        <f>diarrhoea_12_23mo/26</f>
        <v>7.1374973971538469E-2</v>
      </c>
      <c r="G7" s="92">
        <f>diarrhoea_24_59mo/26</f>
        <v>7.1374973971538469E-2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0.28699999999999998</v>
      </c>
      <c r="F8" s="92">
        <f>food_insecure</f>
        <v>0.28699999999999998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0.13</v>
      </c>
      <c r="E9" s="92">
        <f>IF(ISBLANK(comm_deliv), frac_children_health_facility,1)</f>
        <v>0.13</v>
      </c>
      <c r="F9" s="92">
        <f>IF(ISBLANK(comm_deliv), frac_children_health_facility,1)</f>
        <v>0.13</v>
      </c>
      <c r="G9" s="92">
        <f>IF(ISBLANK(comm_deliv), frac_children_health_facility,1)</f>
        <v>0.13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0.12115833449403844</v>
      </c>
      <c r="D11" s="92">
        <f>diarrhoea_1_5mo/26</f>
        <v>0.10913370864153847</v>
      </c>
      <c r="E11" s="92">
        <f>diarrhoea_6_11mo/26</f>
        <v>0.10913370864153847</v>
      </c>
      <c r="F11" s="92">
        <f>diarrhoea_12_23mo/26</f>
        <v>7.1374973971538469E-2</v>
      </c>
      <c r="G11" s="92">
        <f>diarrhoea_24_59mo/26</f>
        <v>7.1374973971538469E-2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0.28699999999999998</v>
      </c>
      <c r="I14" s="92">
        <f>food_insecure</f>
        <v>0.28699999999999998</v>
      </c>
      <c r="J14" s="92">
        <f>food_insecure</f>
        <v>0.28699999999999998</v>
      </c>
      <c r="K14" s="92">
        <f>food_insecure</f>
        <v>0.28699999999999998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6.3E-2</v>
      </c>
      <c r="I17" s="92">
        <f>frac_PW_health_facility</f>
        <v>6.3E-2</v>
      </c>
      <c r="J17" s="92">
        <f>frac_PW_health_facility</f>
        <v>6.3E-2</v>
      </c>
      <c r="K17" s="92">
        <f>frac_PW_health_facility</f>
        <v>6.3E-2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0.28079999999999999</v>
      </c>
      <c r="I18" s="92">
        <f>frac_malaria_risk</f>
        <v>0.28079999999999999</v>
      </c>
      <c r="J18" s="92">
        <f>frac_malaria_risk</f>
        <v>0.28079999999999999</v>
      </c>
      <c r="K18" s="92">
        <f>frac_malaria_risk</f>
        <v>0.28079999999999999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0.63600000000000001</v>
      </c>
      <c r="M23" s="92">
        <f>famplan_unmet_need</f>
        <v>0.63600000000000001</v>
      </c>
      <c r="N23" s="92">
        <f>famplan_unmet_need</f>
        <v>0.63600000000000001</v>
      </c>
      <c r="O23" s="92">
        <f>famplan_unmet_need</f>
        <v>0.63600000000000001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0.37086370509308397</v>
      </c>
      <c r="M24" s="92">
        <f>(1-food_insecure)*(0.49)+food_insecure*(0.7)</f>
        <v>0.55027000000000004</v>
      </c>
      <c r="N24" s="92">
        <f>(1-food_insecure)*(0.49)+food_insecure*(0.7)</f>
        <v>0.55027000000000004</v>
      </c>
      <c r="O24" s="92">
        <f>(1-food_insecure)*(0.49)+food_insecure*(0.7)</f>
        <v>0.55027000000000004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0.158941587897036</v>
      </c>
      <c r="M25" s="92">
        <f>(1-food_insecure)*(0.21)+food_insecure*(0.3)</f>
        <v>0.23582999999999998</v>
      </c>
      <c r="N25" s="92">
        <f>(1-food_insecure)*(0.21)+food_insecure*(0.3)</f>
        <v>0.23582999999999998</v>
      </c>
      <c r="O25" s="92">
        <f>(1-food_insecure)*(0.21)+food_insecure*(0.3)</f>
        <v>0.23582999999999998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0.14416149620988</v>
      </c>
      <c r="M26" s="92">
        <f>(1-food_insecure)*(0.3)</f>
        <v>0.21390000000000001</v>
      </c>
      <c r="N26" s="92">
        <f>(1-food_insecure)*(0.3)</f>
        <v>0.21390000000000001</v>
      </c>
      <c r="O26" s="92">
        <f>(1-food_insecure)*(0.3)</f>
        <v>0.21390000000000001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0.32603321080000003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0.28079999999999999</v>
      </c>
      <c r="D33" s="92">
        <f t="shared" si="3"/>
        <v>0.28079999999999999</v>
      </c>
      <c r="E33" s="92">
        <f t="shared" si="3"/>
        <v>0.28079999999999999</v>
      </c>
      <c r="F33" s="92">
        <f t="shared" si="3"/>
        <v>0.28079999999999999</v>
      </c>
      <c r="G33" s="92">
        <f t="shared" si="3"/>
        <v>0.28079999999999999</v>
      </c>
      <c r="H33" s="92">
        <f t="shared" si="3"/>
        <v>0.28079999999999999</v>
      </c>
      <c r="I33" s="92">
        <f t="shared" si="3"/>
        <v>0.28079999999999999</v>
      </c>
      <c r="J33" s="92">
        <f t="shared" si="3"/>
        <v>0.28079999999999999</v>
      </c>
      <c r="K33" s="92">
        <f t="shared" si="3"/>
        <v>0.28079999999999999</v>
      </c>
      <c r="L33" s="92">
        <f t="shared" si="3"/>
        <v>0.28079999999999999</v>
      </c>
      <c r="M33" s="92">
        <f t="shared" si="3"/>
        <v>0.28079999999999999</v>
      </c>
      <c r="N33" s="92">
        <f t="shared" si="3"/>
        <v>0.28079999999999999</v>
      </c>
      <c r="O33" s="92">
        <f t="shared" si="3"/>
        <v>0.28079999999999999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2020-03-24T06:50:33Z</dcterms:modified>
</cp:coreProperties>
</file>