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E4CB4415-E816-40E1-B87B-83B254A3412B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2" i="2"/>
  <c r="I18" i="2"/>
  <c r="I31" i="2"/>
  <c r="I27" i="2"/>
  <c r="I29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C0D1C889-28E1-479F-9D9F-E8D5364858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E6122D78-1E47-47BB-83E6-B614C7C2E38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D2C89BAB-0CF4-47BA-B8E3-95B752C1CD89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D3F0CF60-02AC-446D-8D43-295A0FB7C53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E15F7621-1F7F-478B-8A25-CAE37D760889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EE02F8BC-D84F-4421-9223-A76508651135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B1389911-B560-4445-96CA-58E4E3A4642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07AF53B7-C68F-4AD3-93BE-C2820FA21F0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BDFD7CF2-7B5F-4C44-BDD7-8EAD8433323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2A5E94CD-51D9-43B8-8904-A48D33B553F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900C97CD-2189-44C2-B121-82CDCBA5243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F37163F4-8610-4F1B-A326-52D0FA6E444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455CBC31-5C6A-4045-9937-C2C13AB0FE7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4557F690-7FB5-455E-865D-7834C811CC1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0FE1FB76-E5C9-4B6C-886C-DACC70D2C10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C8048D8-1026-471C-B159-412D15A4C99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C234E2AC-359B-4386-BC33-E8887D00E93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27B866F2-F38F-45F7-A926-D4B69845630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F4A14D3-1958-4B9A-A042-039B26BB01F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EE860F88-7A55-430D-80ED-CC0D23A1B84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000CB852-10F3-4A1B-8F13-B5991080A73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617C67E6-B067-4864-A271-8AAC04D2230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FC36F757-A9A0-4CA2-8FDF-66B7812756FB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C28ECBB2-0613-46C9-957B-EDEDE585038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EB8114B4-1469-46AA-B62D-037C4E3BC367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3496E80C-5207-4DEA-B2A1-1C6201585B4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D3F7F2BB-4CF5-4FFE-982D-4E66A57C372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656F36DF-1FFF-4CE8-91D9-384403C81A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3263EFEF-FB2E-4D8D-A159-A235A0F3D8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FBAD9061-E02B-4E5F-AC09-0CD684EC41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3CD6578F-0844-454C-8E03-02CE669F843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985B1E79-2BC6-4F37-BB61-9EE523AA98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036E0FA9-E022-4499-B9CF-A4CD7DC484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F4907C3D-A9A2-4BD9-8E57-F6D5634A4099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EE6621DF-6F55-4FE1-B0EF-44951E0A2351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55D2F68-5403-47E6-9423-E3B50050A1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9AF273A5-B771-47C7-9B1F-01EC955F71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B08364AE-8EF4-49C0-A7F5-BE5E0DAE94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6DF4F93A-492E-4B66-A688-4E2B736AE7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D98C742D-2929-4A2F-96E5-24C42AB6E0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8634554E-565A-414A-88F5-A5913BC5D4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39674A30-4D83-4077-AB20-EA47353D2B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3D7881A2-D3BB-4C7F-AAC4-44D9F7F8F8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D178601B-0C1B-406B-9DD8-B2AD9AABED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70C806CB-B950-4C3E-A69D-BBC976C5C4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74C8327C-2F29-4E63-B104-764258F8EA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1C4AE194-D3D7-4AE0-AF0D-9BB85D6D59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3D9AD9B4-A6E1-4DE4-A8F6-0BB39008A5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0D76AD67-E374-41F7-B97E-0EB72AED58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F81CDCB8-4028-41C2-B549-1369458C24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AB3B1AE4-B07D-442E-8762-A9E7466B09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06DC4103-2C27-4E65-BF76-9C16CCDDD1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6B4141EF-2945-4408-9CEA-E331EDFB20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2A27F158-BEA8-4B93-BE66-F79F8EF651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E933EC4A-2A9E-491C-8F44-4BE3FE82F9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6F4C7F68-19C4-49F3-948F-193CF49C58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995AB90E-7291-4577-AB58-4BA23FE1D8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3D7BE58C-F41F-4B5D-85CE-C6BAF2C667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597087E3-2CB4-4BF4-B125-951C4DE43D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CE07CC4C-5518-4409-A087-EEFFECBC39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24D48F7F-3CA8-4D76-AC0F-5418134D6A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41BFA574-7AEF-41D4-9792-72E0D430EC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E9589F5D-F260-4389-AFE8-9B7F3AA875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2D3C8BAD-6797-4863-A76B-B1A1F6011F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C59434E0-93C8-4464-9A2A-7903A951E4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9FD147C2-3C4C-4E00-858A-7E52C2D79F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F57EB07F-D009-4DE4-A462-854F33F265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22460E28-F11A-41A8-B6B8-E7D987A3FE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946E9317-7B54-439B-9CD6-9F658A365D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C08DD7C9-41DE-4CF9-90AD-8E3C770C56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1E35CF38-B359-4188-8E0B-9C19766F40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327C7CCE-70BB-475F-9E5D-F678459D1F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06E917FD-48B1-4652-A2C2-88B6AE4E60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8A2B850F-D1B5-40A5-A135-A31DCBB5F1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0980178D-B791-43AE-82D5-518E5462FE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33F3D97E-3BA9-4BB6-976F-1E82E41241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BC4DE14F-20D7-4366-A007-D212E8F92F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BF6DE962-A313-4919-8E37-440FD3EBEF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6ABEACAB-A25D-47D0-89C0-C7B2E42906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18D324BD-70E4-4567-A7F8-03A3525D0C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98C79E68-2DEE-4B3B-B68B-20B4A2CC11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2A885CBC-D99C-4A3C-989D-49531579E1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90253C80-2F90-4855-AB79-A2B087F9C2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2ABE9409-CF29-48D7-9D54-6ACE310382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59B63766-9613-4977-B76E-ED4A0657A5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284B4002-F651-4762-9EA7-04E457F2ED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75CF7CDC-74D9-4E86-9CA2-C7CC27CC41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9989C5F5-25B2-4E1D-A037-769DB33429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D6E88029-2DE6-4D14-8CC2-9DFC71F5F8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AA1227C6-0D5B-441C-BD95-EF0CC3843A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D66CAEAF-3370-42ED-9247-1718D8900B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114A2831-4EDB-482B-9E3A-278068ECFD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BD1B21A4-A6E4-4B62-B969-110E293261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2C2E016F-C621-4A1A-8ACC-768D6124F0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544B0F77-462D-492B-B8D5-B6686C882A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25FCB123-FD92-4533-ACD9-8EA994BE12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D6C22140-841E-49FA-A10C-6658D68AA8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61F8FC33-0731-4869-95C9-945D2EEA8B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BC00FB9F-23CE-4048-A8F3-74DB127F5B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4D38283-6E3F-427D-B70F-945EFA98F3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EE12A807-767C-4DCB-AD7D-51C0901463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12CE829A-365F-4700-97C1-E4A66A799F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C2A5F073-05F0-44D1-89F8-B1153CCBD5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962B3040-F493-47C3-B981-50F105149E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7D6AFEED-C706-4382-B39A-DF9ABCD15E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D08ACF0B-1496-4D68-AC1E-369964D6E5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5445068-C5FF-4780-8A3C-95B7D845EC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3D7BE8C3-7AB3-459C-A395-A0C822FF19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936852AE-3448-456E-BEFB-67B65044F5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E8C593ED-9976-48B5-A702-DF2A8A5146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5BE50DFE-AEB6-4EDB-9B3E-1E20933E41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4F4E4BFD-FBBD-47C1-98E1-B8B9B09946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08B35FCA-71D7-4F43-A495-78CD5FC9CA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E7DBCD44-342C-4541-801F-6671ED9E2C0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36E78D77-1C25-4B14-AF42-92B22B5297E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24EB225-EA90-4170-A170-B9222B5B66D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6DF2766E-B4C8-4F20-93A4-42E97A53171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F154174E-42B9-4547-B4E6-CC8C2BE6859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C1BEBB2F-0B74-406C-8D86-52A4A20766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71F6FD0C-9205-4F10-A5A9-B86982AAB3D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09E55DEC-BC8A-4DB5-835E-CDD01341515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47A1CE2D-7650-436A-B07C-FE5002D0927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BE408CDD-BD7D-4D3E-891F-657E046352E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D8C621AB-1B04-4DFF-8678-2C744300D92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9F175AF7-487B-46DF-9562-CA5734B851A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F10DD9A7-9447-4FBD-9AF1-0161167EFCE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5F1A1E96-D9BD-40C4-AF7F-079A44B5403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819617D4-9E43-460C-88F4-3A36F49C60C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9B3CBBB4-26E3-421A-8FAD-99D614749A1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32841EC1-D124-4978-AFF6-3D4B2C3EC57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A782F373-9525-4BDD-A8DC-0A48FCD9450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D09B9003-71C8-4E5E-A5E7-D801D556EEA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CABC1F7C-57D7-46B8-92E9-3D17FF307CC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EE8CD3D6-6729-490B-A6AA-CB6AA580D5D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9EC7A49F-6708-43E3-AFA5-0448F04D766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D8E0BE8F-9AD2-4FA3-8D4F-581EA86911B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ED3EBD14-BB53-40FC-A153-65E320A2857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157B9A84-FA9A-4C5C-8FAD-36AE7826DCA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51FE0CF9-F0BF-4179-B151-4340C7D792E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36FE4FB2-2CC1-4479-A87C-6C3DFB4F5B5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DE29AE3F-659A-4C85-810A-E2FF0CC1314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F579C676-C619-49FB-AF27-47041166489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BC4371BD-0BC3-4397-A3F3-F6737C427B0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2ED638FE-B6CB-44E0-9F89-6F3BCDEFECE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978BB4FA-9597-4566-9984-C9C2962BC35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B474381E-4764-4B05-AABC-92AB813D4E3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DFF5C1BD-5F99-4F32-B2B1-F2F0B2D63B6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BA1DF4FE-49E4-480B-BFC0-FFAF76C7BC8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356E997D-FA8E-4C28-BE4F-32C0BD010FA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BDFAA3FF-9A77-433A-A565-0AF0058E1D1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92B779AD-B8A2-40FC-9F05-C6D27BEEE98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DAC1D7C8-AF46-4B0A-A475-848AA23173C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00B8766-4F00-4742-A3EE-C1BA6BAB928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1B718F5-8C2B-4816-BA70-EE4B53F0026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6FDCBDAA-4ECB-4D6F-8EE1-75127CB7F8E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BEC889B-C16A-49D0-B3E3-F61035BE0C9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228E9CF7-B35A-4149-8BA0-A732D3BA719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FBE8A7ED-F58A-40DF-A597-7A1190181A8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F232C624-F500-463B-94C7-14646A1E521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2FD78B77-046B-43B3-A41E-200D2C11632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DA7FC340-A755-44F6-9EA7-4EBFDC69DA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0B8D6A88-E5AD-4393-8AEF-DF61B5BD78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7977F237-D915-4301-BD8F-D56162FD6EB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F5C3B099-CA45-4DBC-8358-E5FE19BEBD5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69656414-E710-454E-A130-03C1892956B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F4A3C0BA-DAE1-46DB-A26C-61CEACA2AB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431768F2-3D00-4160-A5A6-8BE2C8C084E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E2E75EF1-B90A-4C00-B010-8E829C9E20F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7A4C2FDA-3CA0-41F6-BCA8-6DAF38F70E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00A31D48-DB4E-4933-A1F8-76F2D58EDE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1500658F-0BA6-45B8-BDB7-A9B02B7845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CBF83895-7A2B-4677-8DBE-9E55970C71F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BCB87B39-CD01-4F97-ABCD-97DAECE0B2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76AD5BB6-B2A7-4EAD-BE6B-9BE033CEE8B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3FAFC908-1E38-43B0-91B8-3C383A93EC9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C78D3C3C-3C58-4E6C-A691-3D97070A519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4F6F88F5-CB4C-4718-8293-1135A9A228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AF7A4465-271D-4D20-883F-2877D35F81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E8CA10B5-74DB-4B92-885D-BDB10F13A7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D8BA6D15-0E4E-468B-8A09-B59B36DD5F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3077DF51-57CE-4F61-85E5-FB4FCBA71E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32C3DB03-A74E-4B0D-AFE6-55F6A16641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70695304-5A62-43CB-B8AE-3FCE6D3577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93E7EF1F-3BB1-4E02-913E-ACD44EB8C86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AA4FBDDA-79B7-443A-BC6C-11D9570E9C9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6E2C36CB-357D-4466-A85A-E2240F0D89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8CCEEB10-465E-40FF-8A20-46E24C3BB1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E6040B80-65AF-47D8-9486-A48D4B19A9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F35B4D98-7610-46C4-A2BA-AA90CEBF1E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7240DC00-F40F-48ED-8546-DC71AC0A25F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EA7859E0-50EE-43ED-A9EE-EDA40B8733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C7A5B3A7-A839-4735-90D4-5BB90383E6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55B3B4B2-D431-4D7F-AB78-1988075821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8BAF36FD-D3D1-4773-952C-E0F1C11F72B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9141FDAA-4632-46F8-854C-7D880BE224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3785F760-F395-4B4F-94C0-7A2AF72BC1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50AEE297-5D30-464B-9B37-786575DFC2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ED0D7E99-19F5-4FF1-B6D6-F6515774B4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4EFE563B-68BF-4731-9E5E-DDD6825767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972ACC63-D55F-46BF-86B0-02D10C4E256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C0595853-F1DE-4AC2-87DD-54C7FA67288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F3A21BF6-3EB0-41CE-A7D6-6096BAD043A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27746B4B-AE69-493A-81FE-C13E05093C3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9394C9E9-B2BB-4FBF-9359-C6895F194A7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72538208-42B5-4A4F-9DD0-F5A845816CD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0BD9182C-AAAE-41A7-A30E-F18A96EBA2B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9E23AF34-229C-48B0-88B0-CE2A2CF1619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203B00AC-DBB5-411E-B945-08A4E2FF42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CD59F4E0-D403-446B-8A73-3120AA14DF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31B14B4B-C96C-4EA8-A929-5A37EEFA83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1F3F6F96-0866-4C61-9A09-0DAF5A030A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C837C3A4-7203-4FF5-A309-D9F0F21036F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2F9C1861-4F57-4748-ABEC-24EFEF243E8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51E3F05A-5EA9-4522-A2A4-385FBCC8B53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6F255910-9775-438E-B209-0D2BB7599120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EFABF7E1-1F57-4CC7-AB70-468B51674D7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880C2D4A-0290-4912-A511-A7A5635AAAE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9C1A42C8-BC60-4E6C-B38D-B10A7386748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4E10725B-C725-4BAF-AEB2-8FFBB93EC96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76E0829-784A-4CEE-B0F7-A571259690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AA87F478-680A-4F1F-8EC9-DC1E20D36E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975F5281-291B-4AFD-9610-F1CAF23B1C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264496DA-61DA-4C46-AA7C-7D815905A8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74A0C7E8-4885-42A6-99DC-B1D4DDF430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2D730CA3-8F86-4FAC-BFCA-477071D4AC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E0E0A5B4-7853-49F9-81DA-B72F1ABAE0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3D4934FF-3149-402C-8773-74C8FC135F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0B864B59-B174-4C1F-9FA6-5E8D38B210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E4092B2F-D03C-4DB5-9678-CEFE23D64C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868D28BC-DA26-41F5-AC19-33003A65E6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C0194CFB-B745-416C-BAC6-1EF12C911E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DD1B47FB-5449-4C64-AA2E-117886E1AE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8774F565-1BC6-4AE0-8E54-3C8BDEDE88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3A7A0290-1FC3-4D3E-B533-AFD221D66A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509570F1-C942-41AC-8C13-03453E359F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1B2FB0CB-ECF2-4CCF-AAF6-778FB8CCC3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EA9567FE-8DD4-4FF0-B3C3-C250FEAD5B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19818E35-7DA6-469E-B848-B9F185ABA5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2D527935-D9D6-47A8-95FD-88777B0EEA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E4182915-F4DB-4526-827D-BC9CDD1C16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4D58E070-988E-4BA8-8F9D-9F4C399DE9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E1C20AF4-9BB7-49E6-B548-F74F1C8025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16B5330F-7ECA-438E-B529-999251722C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9082BB89-1454-485A-B1AA-CB7670D705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09A6B3DB-6855-4985-8CAE-EE71A990E43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A9618996-08D5-41DC-8B42-08979DDD54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4CF7962D-C5E4-4C15-A3CA-2B76F6A3BC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9B7E28B2-79B2-44F4-B8E8-4702230E3C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8BE2C243-BAB6-4E6C-BE6C-3E011ED992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9D4312C6-C833-42BE-8896-DD2A0C9815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B2D284A3-855B-492F-9462-24BFD11947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488401B0-4CF0-4284-86C1-50DC2321F7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F5D6C27-C8E4-4ED6-9BA7-7B642A3A7D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7793E090-C2A8-42B3-9BFD-A0180F965D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F815823F-8755-40A5-AD97-4AAF89318C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D7EF3375-252B-4DFB-A7B4-A9E4BC29B8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E706D8A5-BB6A-4D7A-A2D2-C5CDD56A62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04346C86-26F1-4E95-B48A-5C838E6A7D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89E36565-FE15-48A1-BD0C-05E7BB4483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6D52E13D-41DC-4163-96CA-B9C2501CD9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5905932E-0C6B-40F7-B318-55739D3467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E336C92-984E-4026-8117-BABE44B1AAC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9A4FA965-10A8-47C5-90EA-C1B6D096A34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595BDD6B-BDE8-4B9B-996A-FC7E954DDD5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1FB32EE7-DDCA-4CB7-90A3-71E9355F519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1CDF3E6B-A854-45D9-B92A-5CD29392A15B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1CF7C118-35FF-49E7-B652-809A19EF9CB7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C1BECF1A-A618-4373-B0C4-AF403E34C17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50A6974E-CDDD-4E95-BCBC-E4A2DFF80AD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6619C152-952A-47D2-A297-426FF7D1412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08DBED07-30A8-45A2-9139-A5606C12FA5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5941BB87-96EC-4A6D-AB87-9AC8DB54B03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BCB5C271-DBD3-41E0-8E4F-64DD8AB2F5C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42C4A70A-0BE7-449A-85B9-ED1D6567A71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613A0C69-C741-49BD-9596-03DD34F02A6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AEAF802E-73D3-4422-89BB-AF2C3D3E670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C5153CA8-DF3A-4426-BCA2-1ADAF040A1E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834236A9-05A0-4898-8E77-508315E5287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596F7847-11DE-484D-994B-5D58B86AE58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780F337C-E249-4D00-B99E-0896D92A23D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BEC121E0-6C88-4D5F-8D50-BD3D0E0573D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18C5EF5D-62B6-442B-BE54-C043A48C51A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927D0DDB-E026-4E6F-A440-9F02FCA5A6C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B48D73FC-3480-4167-BEBB-D859517A5D1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7AFF5585-5AF9-4352-8F4B-D7563BC1996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5D4C1BF4-01BB-4A29-B670-4681D7D9078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F807BC32-C432-4B51-AD07-0BEC61D45AB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C8CE1E9A-1826-4F5E-B447-3B7545E1C8CD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C6800D7B-D0F3-4B3F-B175-6027B0F75DF2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EAB6B06D-A388-42CD-997A-9ADE575A754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62620138-EA5D-4EB8-A797-CF33382FDA7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4988F7F1-94BD-4BB6-A62A-70C756AD9A6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9991D854-3158-49ED-9631-258F059BF3E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229DEEB8-3A03-4904-943A-04B82FD9D02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9CD7D9A6-9F6B-4EEC-9AC5-B096C88D0C1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B68540D4-2A69-45C8-AE59-7EF8426157C5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CBAFD674-3686-4B6E-91BE-09000E73FFE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04033145-C6C2-4467-B6C6-67B43CF6E29B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901454F9-EDAE-415C-A042-166BB0317A7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152287C1-E24E-4D58-862A-B4FE3F62115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CB1BEB38-46EE-47EB-9EA0-6B2E2B23B4A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41463548-4855-4E38-A9D3-DC304029410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0B86C923-D93A-46BE-B917-483051B0EF5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10AA6C31-394B-468C-AFD0-D142EC7504D5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5A870A04-E8D2-4331-964B-BF2900EC981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96743AAF-00F9-4707-A6E7-777313CC9D6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9B08CE79-82CD-4AB5-A949-83DAA3D75FC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3BA1D400-D960-4BAA-953D-31BD2CC9A59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D7E2F3E9-CB4C-4345-8719-CCB03E190CC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4293F4BE-1670-4B79-AC00-30475F2A5A3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6470153B-0318-441D-A344-A1A50010982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6339E1A4-1876-447F-8283-ABC00BC8B9B4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7125A6A8-875A-43B1-9274-B425312BA0C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7610A963-8DF3-4C77-BE09-552AECB0920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BAE7FAB9-4280-46E4-A2B9-AAE0B885B1F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71CE3BA4-73BF-44B9-B92A-784AE5336D8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F409C7A6-2BF9-4F64-938D-291AA55B034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49E46E05-181F-4B10-AA65-956DE0B5DE7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6B2E4608-7B0E-4DA7-BC35-FFCC25A7232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6AC8240C-2706-4953-9DFC-337160DB20A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8911FC88-3CAF-48CA-B1F7-E47435E7DBC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99BAA478-3AD1-42DA-9A0D-DD577B70052A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DE297127-B43F-4148-B7B6-9010C68EBB8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<sst xmlns="http://schemas.openxmlformats.org/spreadsheetml/2006/main" count="1102" uniqueCount="271">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</sst>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5712002</v>
      </c>
    </row>
    <row r="8" spans="1:3" ht="15" customHeight="1" x14ac:dyDescent="0.25">
      <c r="B8" s="7" t="s">
        <v>106</v>
      </c>
      <c r="C8" s="70">
        <v>0.55500000000000005</v>
      </c>
    </row>
    <row r="9" spans="1:3" ht="15" customHeight="1" x14ac:dyDescent="0.25">
      <c r="B9" s="9" t="s">
        <v>107</v>
      </c>
      <c r="C9" s="71">
        <v>0.15</v>
      </c>
    </row>
    <row r="10" spans="1:3" ht="15" customHeight="1" x14ac:dyDescent="0.25">
      <c r="B10" s="9" t="s">
        <v>105</v>
      </c>
      <c r="C10" s="71">
        <v>0.84276802062988299</v>
      </c>
    </row>
    <row r="11" spans="1:3" ht="15" customHeight="1" x14ac:dyDescent="0.25">
      <c r="B11" s="7" t="s">
        <v>108</v>
      </c>
      <c r="C11" s="70">
        <v>0.755</v>
      </c>
    </row>
    <row r="12" spans="1:3" ht="15" customHeight="1" x14ac:dyDescent="0.25">
      <c r="B12" s="7" t="s">
        <v>109</v>
      </c>
      <c r="C12" s="70">
        <v>0.87599999999999989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9.8900000000000002E-2</v>
      </c>
    </row>
    <row r="24" spans="1:3" ht="15" customHeight="1" x14ac:dyDescent="0.25">
      <c r="B24" s="20" t="s">
        <v>102</v>
      </c>
      <c r="C24" s="71">
        <v>0.53500000000000003</v>
      </c>
    </row>
    <row r="25" spans="1:3" ht="15" customHeight="1" x14ac:dyDescent="0.25">
      <c r="B25" s="20" t="s">
        <v>103</v>
      </c>
      <c r="C25" s="71">
        <v>0.3115</v>
      </c>
    </row>
    <row r="26" spans="1:3" ht="15" customHeight="1" x14ac:dyDescent="0.25">
      <c r="B26" s="20" t="s">
        <v>104</v>
      </c>
      <c r="C26" s="71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0.33299999999999996</v>
      </c>
    </row>
    <row r="30" spans="1:3" ht="14.25" customHeight="1" x14ac:dyDescent="0.25">
      <c r="B30" s="30" t="s">
        <v>76</v>
      </c>
      <c r="C30" s="73">
        <v>3.7000000000000005E-2</v>
      </c>
    </row>
    <row r="31" spans="1:3" ht="14.25" customHeight="1" x14ac:dyDescent="0.25">
      <c r="B31" s="30" t="s">
        <v>77</v>
      </c>
      <c r="C31" s="73">
        <v>6.7000000000000004E-2</v>
      </c>
    </row>
    <row r="32" spans="1:3" ht="14.25" customHeight="1" x14ac:dyDescent="0.25">
      <c r="B32" s="30" t="s">
        <v>78</v>
      </c>
      <c r="C32" s="73">
        <v>0.56299999999999994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10.7</v>
      </c>
    </row>
    <row r="38" spans="1:5" ht="15" customHeight="1" x14ac:dyDescent="0.25">
      <c r="B38" s="16" t="s">
        <v>91</v>
      </c>
      <c r="C38" s="75">
        <v>28.8</v>
      </c>
      <c r="D38" s="17"/>
      <c r="E38" s="18"/>
    </row>
    <row r="39" spans="1:5" ht="15" customHeight="1" x14ac:dyDescent="0.25">
      <c r="B39" s="16" t="s">
        <v>90</v>
      </c>
      <c r="C39" s="75">
        <v>37.1</v>
      </c>
      <c r="D39" s="17"/>
      <c r="E39" s="17"/>
    </row>
    <row r="40" spans="1:5" ht="15" customHeight="1" x14ac:dyDescent="0.25">
      <c r="B40" s="16" t="s">
        <v>171</v>
      </c>
      <c r="C40" s="75">
        <v>7.89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1.29E-2</v>
      </c>
      <c r="D45" s="17"/>
    </row>
    <row r="46" spans="1:5" ht="15.75" customHeight="1" x14ac:dyDescent="0.25">
      <c r="B46" s="16" t="s">
        <v>11</v>
      </c>
      <c r="C46" s="71">
        <v>6.7199999999999996E-2</v>
      </c>
      <c r="D46" s="17"/>
    </row>
    <row r="47" spans="1:5" ht="15.75" customHeight="1" x14ac:dyDescent="0.25">
      <c r="B47" s="16" t="s">
        <v>12</v>
      </c>
      <c r="C47" s="71">
        <v>0.21760000000000002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1.0105188946599926</v>
      </c>
      <c r="D51" s="17"/>
    </row>
    <row r="52" spans="1:4" ht="15" customHeight="1" x14ac:dyDescent="0.25">
      <c r="B52" s="16" t="s">
        <v>125</v>
      </c>
      <c r="C52" s="76">
        <v>0.76046894949400001</v>
      </c>
    </row>
    <row r="53" spans="1:4" ht="15.75" customHeight="1" x14ac:dyDescent="0.25">
      <c r="B53" s="16" t="s">
        <v>126</v>
      </c>
      <c r="C53" s="76">
        <v>0.76046894949400001</v>
      </c>
    </row>
    <row r="54" spans="1:4" ht="15.75" customHeight="1" x14ac:dyDescent="0.25">
      <c r="B54" s="16" t="s">
        <v>127</v>
      </c>
      <c r="C54" s="76">
        <v>0.277833427523</v>
      </c>
    </row>
    <row r="55" spans="1:4" ht="15.75" customHeight="1" x14ac:dyDescent="0.25">
      <c r="B55" s="16" t="s">
        <v>128</v>
      </c>
      <c r="C55" s="76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0.47377175444833708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65.240473432681014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40.041757421157321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527.45460078861561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3.4568775803245906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1.6412231356392126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1.6412231356392126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1.6412231356392126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1.6412231356392126</v>
      </c>
      <c r="E13" s="86" t="s">
        <v>202</v>
      </c>
    </row>
    <row r="14" spans="1:5" ht="15.75" customHeight="1" x14ac:dyDescent="0.25">
      <c r="A14" s="11" t="s">
        <v>187</v>
      </c>
      <c r="B14" s="85">
        <v>0.11199999999999999</v>
      </c>
      <c r="C14" s="85">
        <v>0.95</v>
      </c>
      <c r="D14" s="86">
        <v>13.174056864953229</v>
      </c>
      <c r="E14" s="86" t="s">
        <v>202</v>
      </c>
    </row>
    <row r="15" spans="1:5" ht="15.75" customHeight="1" x14ac:dyDescent="0.25">
      <c r="A15" s="11" t="s">
        <v>209</v>
      </c>
      <c r="B15" s="85">
        <v>0.11199999999999999</v>
      </c>
      <c r="C15" s="85">
        <v>0.95</v>
      </c>
      <c r="D15" s="86">
        <v>13.174056864953229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0.8808226648485783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0.49399999999999999</v>
      </c>
      <c r="C18" s="85">
        <v>0.95</v>
      </c>
      <c r="D18" s="87">
        <v>12.125692061066285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12.125692061066285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12.125692061066285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42.928727714054823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22.81909077660552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4.3805110504495071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18.736558774124248</v>
      </c>
      <c r="E24" s="86" t="s">
        <v>202</v>
      </c>
    </row>
    <row r="25" spans="1:5" ht="15.75" customHeight="1" x14ac:dyDescent="0.25">
      <c r="A25" s="52" t="s">
        <v>87</v>
      </c>
      <c r="B25" s="85">
        <v>1.4999999999999999E-2</v>
      </c>
      <c r="C25" s="85">
        <v>0.95</v>
      </c>
      <c r="D25" s="86">
        <v>18.727505616754168</v>
      </c>
      <c r="E25" s="86" t="s">
        <v>202</v>
      </c>
    </row>
    <row r="26" spans="1:5" ht="15.75" customHeight="1" x14ac:dyDescent="0.25">
      <c r="A26" s="52" t="s">
        <v>137</v>
      </c>
      <c r="B26" s="85">
        <v>0.11199999999999999</v>
      </c>
      <c r="C26" s="85">
        <v>0.95</v>
      </c>
      <c r="D26" s="86">
        <v>5.5832074009274315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8.4090644207095036</v>
      </c>
      <c r="E27" s="86" t="s">
        <v>202</v>
      </c>
    </row>
    <row r="28" spans="1:5" ht="15.75" customHeight="1" x14ac:dyDescent="0.25">
      <c r="A28" s="52" t="s">
        <v>84</v>
      </c>
      <c r="B28" s="85">
        <v>0.51400000000000001</v>
      </c>
      <c r="C28" s="85">
        <v>0.95</v>
      </c>
      <c r="D28" s="86">
        <v>0.37029085790286392</v>
      </c>
      <c r="E28" s="86" t="s">
        <v>202</v>
      </c>
    </row>
    <row r="29" spans="1:5" ht="15.75" customHeight="1" x14ac:dyDescent="0.25">
      <c r="A29" s="52" t="s">
        <v>58</v>
      </c>
      <c r="B29" s="85">
        <v>0.49399999999999999</v>
      </c>
      <c r="C29" s="85">
        <v>0.95</v>
      </c>
      <c r="D29" s="86">
        <v>130.1061963456628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0.45612429612360672</v>
      </c>
      <c r="E30" s="86" t="s">
        <v>202</v>
      </c>
    </row>
    <row r="31" spans="1:5" ht="15.75" customHeight="1" x14ac:dyDescent="0.25">
      <c r="A31" s="52" t="s">
        <v>28</v>
      </c>
      <c r="B31" s="85">
        <v>0.32450000000000001</v>
      </c>
      <c r="C31" s="85">
        <v>0.95</v>
      </c>
      <c r="D31" s="86">
        <v>1.9079089788346257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0.66400000000000003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0.93200000000000005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0.72699999999999998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0.79566689708810245</v>
      </c>
      <c r="E37" s="86" t="s">
        <v>202</v>
      </c>
    </row>
    <row r="38" spans="1:6" ht="15.75" customHeight="1" x14ac:dyDescent="0.25">
      <c r="A38" s="52" t="s">
        <v>60</v>
      </c>
      <c r="B38" s="85">
        <v>0.36799999999999999</v>
      </c>
      <c r="C38" s="85">
        <v>0.95</v>
      </c>
      <c r="D38" s="86">
        <v>1.9290311460348948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6.9081872600000011E-2</v>
      </c>
      <c r="C3" s="26">
        <f>frac_mam_1_5months * 2.6</f>
        <v>6.9081872600000011E-2</v>
      </c>
      <c r="D3" s="26">
        <f>frac_mam_6_11months * 2.6</f>
        <v>1.0255772799999997E-2</v>
      </c>
      <c r="E3" s="26">
        <f>frac_mam_12_23months * 2.6</f>
        <v>3.6595350999999998E-2</v>
      </c>
      <c r="F3" s="26">
        <f>frac_mam_24_59months * 2.6</f>
        <v>5.5708362753333331E-2</v>
      </c>
    </row>
    <row r="4" spans="1:6" ht="15.75" customHeight="1" x14ac:dyDescent="0.25">
      <c r="A4" s="3" t="s">
        <v>66</v>
      </c>
      <c r="B4" s="26">
        <f>frac_sam_1month * 2.6</f>
        <v>1.65759854E-2</v>
      </c>
      <c r="C4" s="26">
        <f>frac_sam_1_5months * 2.6</f>
        <v>1.65759854E-2</v>
      </c>
      <c r="D4" s="26">
        <f>frac_sam_6_11months * 2.6</f>
        <v>3.64343876E-2</v>
      </c>
      <c r="E4" s="26">
        <f>frac_sam_12_23months * 2.6</f>
        <v>2.6368391400000003E-2</v>
      </c>
      <c r="F4" s="26">
        <f>frac_sam_24_59months * 2.6</f>
        <v>7.5488277800000005E-3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1171492.85718</v>
      </c>
      <c r="C2" s="78">
        <v>2555420</v>
      </c>
      <c r="D2" s="78">
        <v>5100921</v>
      </c>
      <c r="E2" s="78">
        <v>732376</v>
      </c>
      <c r="F2" s="78">
        <v>506340</v>
      </c>
      <c r="G2" s="22">
        <f t="shared" ref="G2:G40" si="0">C2+D2+E2+F2</f>
        <v>8895057</v>
      </c>
      <c r="H2" s="22">
        <f t="shared" ref="H2:H40" si="1">(B2 + stillbirth*B2/(1000-stillbirth))/(1-abortion)</f>
        <v>1370388.2698961939</v>
      </c>
      <c r="I2" s="22">
        <f>G2-H2</f>
        <v>7524668.7301038057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1167303.1259999999</v>
      </c>
      <c r="C3" s="78">
        <v>2559000</v>
      </c>
      <c r="D3" s="78">
        <v>5100000</v>
      </c>
      <c r="E3" s="78">
        <v>759000</v>
      </c>
      <c r="F3" s="78">
        <v>522000</v>
      </c>
      <c r="G3" s="22">
        <f t="shared" si="0"/>
        <v>8940000</v>
      </c>
      <c r="H3" s="22">
        <f t="shared" si="1"/>
        <v>1365487.2084617165</v>
      </c>
      <c r="I3" s="22">
        <f t="shared" ref="I3:I15" si="3">G3-H3</f>
        <v>7574512.7915382832</v>
      </c>
    </row>
    <row r="4" spans="1:9" ht="15.75" customHeight="1" x14ac:dyDescent="0.25">
      <c r="A4" s="7">
        <f t="shared" si="2"/>
        <v>2019</v>
      </c>
      <c r="B4" s="77">
        <v>1162403.2350000001</v>
      </c>
      <c r="C4" s="78">
        <v>2565000</v>
      </c>
      <c r="D4" s="78">
        <v>5097000</v>
      </c>
      <c r="E4" s="78">
        <v>786000</v>
      </c>
      <c r="F4" s="78">
        <v>536000</v>
      </c>
      <c r="G4" s="22">
        <f t="shared" si="0"/>
        <v>8984000</v>
      </c>
      <c r="H4" s="22">
        <f t="shared" si="1"/>
        <v>1359755.4166637422</v>
      </c>
      <c r="I4" s="22">
        <f t="shared" si="3"/>
        <v>7624244.5833362583</v>
      </c>
    </row>
    <row r="5" spans="1:9" ht="15.75" customHeight="1" x14ac:dyDescent="0.25">
      <c r="A5" s="7">
        <f t="shared" si="2"/>
        <v>2020</v>
      </c>
      <c r="B5" s="77">
        <v>1156862.4210000001</v>
      </c>
      <c r="C5" s="78">
        <v>2573000</v>
      </c>
      <c r="D5" s="78">
        <v>5094000</v>
      </c>
      <c r="E5" s="78">
        <v>817000</v>
      </c>
      <c r="F5" s="78">
        <v>551000</v>
      </c>
      <c r="G5" s="22">
        <f t="shared" si="0"/>
        <v>9035000</v>
      </c>
      <c r="H5" s="22">
        <f t="shared" si="1"/>
        <v>1353273.886311475</v>
      </c>
      <c r="I5" s="22">
        <f t="shared" si="3"/>
        <v>7681726.1136885248</v>
      </c>
    </row>
    <row r="6" spans="1:9" ht="15.75" customHeight="1" x14ac:dyDescent="0.25">
      <c r="A6" s="7">
        <f t="shared" si="2"/>
        <v>2021</v>
      </c>
      <c r="B6" s="77">
        <v>1152638.3828</v>
      </c>
      <c r="C6" s="78">
        <v>2586000</v>
      </c>
      <c r="D6" s="78">
        <v>5093000</v>
      </c>
      <c r="E6" s="78">
        <v>846000</v>
      </c>
      <c r="F6" s="78">
        <v>568000</v>
      </c>
      <c r="G6" s="22">
        <f t="shared" si="0"/>
        <v>9093000</v>
      </c>
      <c r="H6" s="22">
        <f t="shared" si="1"/>
        <v>1348332.6932300185</v>
      </c>
      <c r="I6" s="22">
        <f t="shared" si="3"/>
        <v>7744667.306769982</v>
      </c>
    </row>
    <row r="7" spans="1:9" ht="15.75" customHeight="1" x14ac:dyDescent="0.25">
      <c r="A7" s="7">
        <f t="shared" si="2"/>
        <v>2022</v>
      </c>
      <c r="B7" s="77">
        <v>1147759.4776000001</v>
      </c>
      <c r="C7" s="78">
        <v>2600000</v>
      </c>
      <c r="D7" s="78">
        <v>5091000</v>
      </c>
      <c r="E7" s="78">
        <v>878000</v>
      </c>
      <c r="F7" s="78">
        <v>583000</v>
      </c>
      <c r="G7" s="22">
        <f t="shared" si="0"/>
        <v>9152000</v>
      </c>
      <c r="H7" s="22">
        <f t="shared" si="1"/>
        <v>1342625.4501896214</v>
      </c>
      <c r="I7" s="22">
        <f t="shared" si="3"/>
        <v>7809374.5498103788</v>
      </c>
    </row>
    <row r="8" spans="1:9" ht="15.75" customHeight="1" x14ac:dyDescent="0.25">
      <c r="A8" s="7">
        <f t="shared" si="2"/>
        <v>2023</v>
      </c>
      <c r="B8" s="77">
        <v>1142238.5394000001</v>
      </c>
      <c r="C8" s="78">
        <v>2617000</v>
      </c>
      <c r="D8" s="78">
        <v>5091000</v>
      </c>
      <c r="E8" s="78">
        <v>910000</v>
      </c>
      <c r="F8" s="78">
        <v>600000</v>
      </c>
      <c r="G8" s="22">
        <f t="shared" si="0"/>
        <v>9218000</v>
      </c>
      <c r="H8" s="22">
        <f t="shared" si="1"/>
        <v>1336167.1701397421</v>
      </c>
      <c r="I8" s="22">
        <f t="shared" si="3"/>
        <v>7881832.8298602579</v>
      </c>
    </row>
    <row r="9" spans="1:9" ht="15.75" customHeight="1" x14ac:dyDescent="0.25">
      <c r="A9" s="7">
        <f t="shared" si="2"/>
        <v>2024</v>
      </c>
      <c r="B9" s="77">
        <v>1136051.2818000002</v>
      </c>
      <c r="C9" s="78">
        <v>2637000</v>
      </c>
      <c r="D9" s="78">
        <v>5095000</v>
      </c>
      <c r="E9" s="78">
        <v>944000</v>
      </c>
      <c r="F9" s="78">
        <v>619000</v>
      </c>
      <c r="G9" s="22">
        <f t="shared" si="0"/>
        <v>9295000</v>
      </c>
      <c r="H9" s="22">
        <f t="shared" si="1"/>
        <v>1328929.4433487512</v>
      </c>
      <c r="I9" s="22">
        <f t="shared" si="3"/>
        <v>7966070.5566512486</v>
      </c>
    </row>
    <row r="10" spans="1:9" ht="15.75" customHeight="1" x14ac:dyDescent="0.25">
      <c r="A10" s="7">
        <f t="shared" si="2"/>
        <v>2025</v>
      </c>
      <c r="B10" s="77">
        <v>1129212.25</v>
      </c>
      <c r="C10" s="78">
        <v>2660000</v>
      </c>
      <c r="D10" s="78">
        <v>5102000</v>
      </c>
      <c r="E10" s="78">
        <v>978000</v>
      </c>
      <c r="F10" s="78">
        <v>639000</v>
      </c>
      <c r="G10" s="22">
        <f t="shared" si="0"/>
        <v>9379000</v>
      </c>
      <c r="H10" s="22">
        <f t="shared" si="1"/>
        <v>1320929.284492702</v>
      </c>
      <c r="I10" s="22">
        <f t="shared" si="3"/>
        <v>8058070.7155072978</v>
      </c>
    </row>
    <row r="11" spans="1:9" ht="15.75" customHeight="1" x14ac:dyDescent="0.25">
      <c r="A11" s="7">
        <f t="shared" si="2"/>
        <v>2026</v>
      </c>
      <c r="B11" s="77">
        <v>1124953.4556</v>
      </c>
      <c r="C11" s="78">
        <v>2686000</v>
      </c>
      <c r="D11" s="78">
        <v>5111000</v>
      </c>
      <c r="E11" s="78">
        <v>1011000</v>
      </c>
      <c r="F11" s="78">
        <v>660000</v>
      </c>
      <c r="G11" s="22">
        <f t="shared" si="0"/>
        <v>9468000</v>
      </c>
      <c r="H11" s="22">
        <f t="shared" si="1"/>
        <v>1315947.4343227327</v>
      </c>
      <c r="I11" s="22">
        <f t="shared" si="3"/>
        <v>8152052.5656772675</v>
      </c>
    </row>
    <row r="12" spans="1:9" ht="15.75" customHeight="1" x14ac:dyDescent="0.25">
      <c r="A12" s="7">
        <f t="shared" si="2"/>
        <v>2027</v>
      </c>
      <c r="B12" s="77">
        <v>1120128.4277999999</v>
      </c>
      <c r="C12" s="78">
        <v>2716000</v>
      </c>
      <c r="D12" s="78">
        <v>5123000</v>
      </c>
      <c r="E12" s="78">
        <v>1044000</v>
      </c>
      <c r="F12" s="78">
        <v>683000</v>
      </c>
      <c r="G12" s="22">
        <f t="shared" si="0"/>
        <v>9566000</v>
      </c>
      <c r="H12" s="22">
        <f t="shared" si="1"/>
        <v>1310303.2159576635</v>
      </c>
      <c r="I12" s="22">
        <f t="shared" si="3"/>
        <v>8255696.784042336</v>
      </c>
    </row>
    <row r="13" spans="1:9" ht="15.75" customHeight="1" x14ac:dyDescent="0.25">
      <c r="A13" s="7">
        <f t="shared" si="2"/>
        <v>2028</v>
      </c>
      <c r="B13" s="77">
        <v>1114801.8028000002</v>
      </c>
      <c r="C13" s="78">
        <v>2747000</v>
      </c>
      <c r="D13" s="78">
        <v>5140000</v>
      </c>
      <c r="E13" s="78">
        <v>1077000</v>
      </c>
      <c r="F13" s="78">
        <v>707000</v>
      </c>
      <c r="G13" s="22">
        <f t="shared" si="0"/>
        <v>9671000</v>
      </c>
      <c r="H13" s="22">
        <f t="shared" si="1"/>
        <v>1304072.2394959657</v>
      </c>
      <c r="I13" s="22">
        <f t="shared" si="3"/>
        <v>8366927.7605040343</v>
      </c>
    </row>
    <row r="14" spans="1:9" ht="15.75" customHeight="1" x14ac:dyDescent="0.25">
      <c r="A14" s="7">
        <f t="shared" si="2"/>
        <v>2029</v>
      </c>
      <c r="B14" s="77">
        <v>1109018.0730000003</v>
      </c>
      <c r="C14" s="78">
        <v>2772000</v>
      </c>
      <c r="D14" s="78">
        <v>5164000</v>
      </c>
      <c r="E14" s="78">
        <v>1110000</v>
      </c>
      <c r="F14" s="78">
        <v>734000</v>
      </c>
      <c r="G14" s="22">
        <f t="shared" si="0"/>
        <v>9780000</v>
      </c>
      <c r="H14" s="22">
        <f t="shared" si="1"/>
        <v>1297306.5512328309</v>
      </c>
      <c r="I14" s="22">
        <f t="shared" si="3"/>
        <v>8482693.4487671684</v>
      </c>
    </row>
    <row r="15" spans="1:9" ht="15.75" customHeight="1" x14ac:dyDescent="0.25">
      <c r="A15" s="7">
        <f t="shared" si="2"/>
        <v>2030</v>
      </c>
      <c r="B15" s="77">
        <v>1102819.862</v>
      </c>
      <c r="C15" s="78">
        <v>2789000</v>
      </c>
      <c r="D15" s="78">
        <v>5194000</v>
      </c>
      <c r="E15" s="78">
        <v>1143000</v>
      </c>
      <c r="F15" s="78">
        <v>762000</v>
      </c>
      <c r="G15" s="22">
        <f t="shared" si="0"/>
        <v>9888000</v>
      </c>
      <c r="H15" s="22">
        <f t="shared" si="1"/>
        <v>1290056.0113796145</v>
      </c>
      <c r="I15" s="22">
        <f t="shared" si="3"/>
        <v>8597943.9886203855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128.67573947607917</v>
      </c>
      <c r="I17" s="22">
        <f t="shared" si="4"/>
        <v>-128.67573947607917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3.9955950000000004E-2</v>
      </c>
    </row>
    <row r="4" spans="1:8" ht="15.75" customHeight="1" x14ac:dyDescent="0.25">
      <c r="B4" s="24" t="s">
        <v>7</v>
      </c>
      <c r="C4" s="79">
        <v>0.14461477649668061</v>
      </c>
    </row>
    <row r="5" spans="1:8" ht="15.75" customHeight="1" x14ac:dyDescent="0.25">
      <c r="B5" s="24" t="s">
        <v>8</v>
      </c>
      <c r="C5" s="79">
        <v>9.4743161778722329E-2</v>
      </c>
    </row>
    <row r="6" spans="1:8" ht="15.75" customHeight="1" x14ac:dyDescent="0.25">
      <c r="B6" s="24" t="s">
        <v>10</v>
      </c>
      <c r="C6" s="79">
        <v>0.10105447569549644</v>
      </c>
    </row>
    <row r="7" spans="1:8" ht="15.75" customHeight="1" x14ac:dyDescent="0.25">
      <c r="B7" s="24" t="s">
        <v>13</v>
      </c>
      <c r="C7" s="79">
        <v>0.2044529009406775</v>
      </c>
    </row>
    <row r="8" spans="1:8" ht="15.75" customHeight="1" x14ac:dyDescent="0.25">
      <c r="B8" s="24" t="s">
        <v>14</v>
      </c>
      <c r="C8" s="79">
        <v>2.161765397057213E-4</v>
      </c>
    </row>
    <row r="9" spans="1:8" ht="15.75" customHeight="1" x14ac:dyDescent="0.25">
      <c r="B9" s="24" t="s">
        <v>27</v>
      </c>
      <c r="C9" s="79">
        <v>7.2617949822947836E-2</v>
      </c>
    </row>
    <row r="10" spans="1:8" ht="15.75" customHeight="1" x14ac:dyDescent="0.25">
      <c r="B10" s="24" t="s">
        <v>15</v>
      </c>
      <c r="C10" s="79">
        <v>0.34234460872576955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0.22925304861110496</v>
      </c>
      <c r="D14" s="79">
        <v>0.22925304861110496</v>
      </c>
      <c r="E14" s="79">
        <v>0.20145437514572101</v>
      </c>
      <c r="F14" s="79">
        <v>0.20145437514572101</v>
      </c>
    </row>
    <row r="15" spans="1:8" ht="15.75" customHeight="1" x14ac:dyDescent="0.25">
      <c r="B15" s="24" t="s">
        <v>16</v>
      </c>
      <c r="C15" s="79">
        <v>0.19357296307034499</v>
      </c>
      <c r="D15" s="79">
        <v>0.19357296307034499</v>
      </c>
      <c r="E15" s="79">
        <v>0.12471079274301801</v>
      </c>
      <c r="F15" s="79">
        <v>0.12471079274301801</v>
      </c>
    </row>
    <row r="16" spans="1:8" ht="15.75" customHeight="1" x14ac:dyDescent="0.25">
      <c r="B16" s="24" t="s">
        <v>17</v>
      </c>
      <c r="C16" s="79">
        <v>1.6029171536109301E-2</v>
      </c>
      <c r="D16" s="79">
        <v>1.6029171536109301E-2</v>
      </c>
      <c r="E16" s="79">
        <v>2.11104499870273E-2</v>
      </c>
      <c r="F16" s="79">
        <v>2.11104499870273E-2</v>
      </c>
    </row>
    <row r="17" spans="1:8" ht="15.75" customHeight="1" x14ac:dyDescent="0.25">
      <c r="B17" s="24" t="s">
        <v>18</v>
      </c>
      <c r="C17" s="79">
        <v>2.0773967260707196E-2</v>
      </c>
      <c r="D17" s="79">
        <v>2.0773967260707196E-2</v>
      </c>
      <c r="E17" s="79">
        <v>5.9209900451555997E-2</v>
      </c>
      <c r="F17" s="79">
        <v>5.9209900451555997E-2</v>
      </c>
    </row>
    <row r="18" spans="1:8" ht="15.75" customHeight="1" x14ac:dyDescent="0.25">
      <c r="B18" s="24" t="s">
        <v>19</v>
      </c>
      <c r="C18" s="79">
        <v>3.7310617309601101E-5</v>
      </c>
      <c r="D18" s="79">
        <v>3.7310617309601101E-5</v>
      </c>
      <c r="E18" s="79">
        <v>6.50941897773854E-4</v>
      </c>
      <c r="F18" s="79">
        <v>6.50941897773854E-4</v>
      </c>
    </row>
    <row r="19" spans="1:8" ht="15.75" customHeight="1" x14ac:dyDescent="0.25">
      <c r="B19" s="24" t="s">
        <v>20</v>
      </c>
      <c r="C19" s="79">
        <v>2.0387077153602901E-2</v>
      </c>
      <c r="D19" s="79">
        <v>2.0387077153602901E-2</v>
      </c>
      <c r="E19" s="79">
        <v>2.5020078802418601E-2</v>
      </c>
      <c r="F19" s="79">
        <v>2.5020078802418601E-2</v>
      </c>
    </row>
    <row r="20" spans="1:8" ht="15.75" customHeight="1" x14ac:dyDescent="0.25">
      <c r="B20" s="24" t="s">
        <v>21</v>
      </c>
      <c r="C20" s="79">
        <v>0.193492660598968</v>
      </c>
      <c r="D20" s="79">
        <v>0.193492660598968</v>
      </c>
      <c r="E20" s="79">
        <v>0.10796852493329298</v>
      </c>
      <c r="F20" s="79">
        <v>0.10796852493329298</v>
      </c>
    </row>
    <row r="21" spans="1:8" ht="15.75" customHeight="1" x14ac:dyDescent="0.25">
      <c r="B21" s="24" t="s">
        <v>22</v>
      </c>
      <c r="C21" s="79">
        <v>3.6418342591831902E-2</v>
      </c>
      <c r="D21" s="79">
        <v>3.6418342591831902E-2</v>
      </c>
      <c r="E21" s="79">
        <v>0.17436034923479501</v>
      </c>
      <c r="F21" s="79">
        <v>0.17436034923479501</v>
      </c>
    </row>
    <row r="22" spans="1:8" ht="15.75" customHeight="1" x14ac:dyDescent="0.25">
      <c r="B22" s="24" t="s">
        <v>23</v>
      </c>
      <c r="C22" s="79">
        <v>0.29003545856002122</v>
      </c>
      <c r="D22" s="79">
        <v>0.29003545856002122</v>
      </c>
      <c r="E22" s="79">
        <v>0.28551458680439723</v>
      </c>
      <c r="F22" s="79">
        <v>0.28551458680439723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3.39E-2</v>
      </c>
    </row>
    <row r="27" spans="1:8" ht="15.75" customHeight="1" x14ac:dyDescent="0.25">
      <c r="B27" s="24" t="s">
        <v>39</v>
      </c>
      <c r="C27" s="79">
        <v>5.9999999999999995E-4</v>
      </c>
    </row>
    <row r="28" spans="1:8" ht="15.75" customHeight="1" x14ac:dyDescent="0.25">
      <c r="B28" s="24" t="s">
        <v>40</v>
      </c>
      <c r="C28" s="79">
        <v>0.10630000000000001</v>
      </c>
    </row>
    <row r="29" spans="1:8" ht="15.75" customHeight="1" x14ac:dyDescent="0.25">
      <c r="B29" s="24" t="s">
        <v>41</v>
      </c>
      <c r="C29" s="79">
        <v>0.1467</v>
      </c>
    </row>
    <row r="30" spans="1:8" ht="15.75" customHeight="1" x14ac:dyDescent="0.25">
      <c r="B30" s="24" t="s">
        <v>42</v>
      </c>
      <c r="C30" s="79">
        <v>8.2100000000000006E-2</v>
      </c>
    </row>
    <row r="31" spans="1:8" ht="15.75" customHeight="1" x14ac:dyDescent="0.25">
      <c r="B31" s="24" t="s">
        <v>43</v>
      </c>
      <c r="C31" s="79">
        <v>5.7500000000000002E-2</v>
      </c>
    </row>
    <row r="32" spans="1:8" ht="15.75" customHeight="1" x14ac:dyDescent="0.25">
      <c r="B32" s="24" t="s">
        <v>44</v>
      </c>
      <c r="C32" s="79">
        <v>2.07E-2</v>
      </c>
    </row>
    <row r="33" spans="2:3" ht="15.75" customHeight="1" x14ac:dyDescent="0.25">
      <c r="B33" s="24" t="s">
        <v>45</v>
      </c>
      <c r="C33" s="79">
        <v>6.9699999999999998E-2</v>
      </c>
    </row>
    <row r="34" spans="2:3" ht="15.75" customHeight="1" x14ac:dyDescent="0.25">
      <c r="B34" s="24" t="s">
        <v>46</v>
      </c>
      <c r="C34" s="79">
        <v>0.48249999999999998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0.49785999937911096</v>
      </c>
      <c r="D2" s="80">
        <v>0.49785999937911096</v>
      </c>
      <c r="E2" s="80">
        <v>0.46261780526886104</v>
      </c>
      <c r="F2" s="80">
        <v>0.32527256520685544</v>
      </c>
      <c r="G2" s="80">
        <v>0.29340445320470487</v>
      </c>
    </row>
    <row r="3" spans="1:15" ht="15.75" customHeight="1" x14ac:dyDescent="0.25">
      <c r="A3" s="5"/>
      <c r="B3" s="11" t="s">
        <v>118</v>
      </c>
      <c r="C3" s="80">
        <v>0.18111518249838088</v>
      </c>
      <c r="D3" s="80">
        <v>0.18111518249838088</v>
      </c>
      <c r="E3" s="80">
        <v>0.21635737660863083</v>
      </c>
      <c r="F3" s="80">
        <v>0.29108786886345989</v>
      </c>
      <c r="G3" s="80">
        <v>0.32295598086561034</v>
      </c>
    </row>
    <row r="4" spans="1:15" ht="15.75" customHeight="1" x14ac:dyDescent="0.25">
      <c r="A4" s="5"/>
      <c r="B4" s="11" t="s">
        <v>116</v>
      </c>
      <c r="C4" s="81">
        <v>0.13914388401594779</v>
      </c>
      <c r="D4" s="81">
        <v>0.13914388401594779</v>
      </c>
      <c r="E4" s="81">
        <v>0.13914388401594779</v>
      </c>
      <c r="F4" s="81">
        <v>0.20175863182312434</v>
      </c>
      <c r="G4" s="81">
        <v>0.20175863182312434</v>
      </c>
    </row>
    <row r="5" spans="1:15" ht="15.75" customHeight="1" x14ac:dyDescent="0.25">
      <c r="A5" s="5"/>
      <c r="B5" s="11" t="s">
        <v>119</v>
      </c>
      <c r="C5" s="81">
        <v>0.18188093410656037</v>
      </c>
      <c r="D5" s="81">
        <v>0.18188093410656037</v>
      </c>
      <c r="E5" s="81">
        <v>0.18188093410656037</v>
      </c>
      <c r="F5" s="81">
        <v>0.18188093410656037</v>
      </c>
      <c r="G5" s="81">
        <v>0.18188093410656037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0.83628609957470013</v>
      </c>
      <c r="D8" s="80">
        <v>0.83628609957470013</v>
      </c>
      <c r="E8" s="80">
        <v>0.80924574151256823</v>
      </c>
      <c r="F8" s="80">
        <v>0.82501839344206007</v>
      </c>
      <c r="G8" s="80">
        <v>0.87174679316649439</v>
      </c>
    </row>
    <row r="9" spans="1:15" ht="15.75" customHeight="1" x14ac:dyDescent="0.25">
      <c r="B9" s="7" t="s">
        <v>121</v>
      </c>
      <c r="C9" s="80">
        <v>0.13076857042529991</v>
      </c>
      <c r="D9" s="80">
        <v>0.13076857042529991</v>
      </c>
      <c r="E9" s="80">
        <v>0.17279650448743167</v>
      </c>
      <c r="F9" s="80">
        <v>0.15076478255793993</v>
      </c>
      <c r="G9" s="80">
        <v>0.10392351816683902</v>
      </c>
    </row>
    <row r="10" spans="1:15" ht="15.75" customHeight="1" x14ac:dyDescent="0.25">
      <c r="B10" s="7" t="s">
        <v>122</v>
      </c>
      <c r="C10" s="81">
        <v>2.6569951000000001E-2</v>
      </c>
      <c r="D10" s="81">
        <v>2.6569951000000001E-2</v>
      </c>
      <c r="E10" s="81">
        <v>3.9445279999999984E-3</v>
      </c>
      <c r="F10" s="81">
        <v>1.4075134999999999E-2</v>
      </c>
      <c r="G10" s="81">
        <v>2.1426293366666665E-2</v>
      </c>
    </row>
    <row r="11" spans="1:15" ht="15.75" customHeight="1" x14ac:dyDescent="0.25">
      <c r="B11" s="7" t="s">
        <v>123</v>
      </c>
      <c r="C11" s="81">
        <v>6.3753789999999996E-3</v>
      </c>
      <c r="D11" s="81">
        <v>6.3753789999999996E-3</v>
      </c>
      <c r="E11" s="81">
        <v>1.4013226E-2</v>
      </c>
      <c r="F11" s="81">
        <v>1.0141689000000001E-2</v>
      </c>
      <c r="G11" s="81">
        <v>2.9033953000000001E-3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0.3103689825</v>
      </c>
      <c r="D14" s="82">
        <v>0.297864656768</v>
      </c>
      <c r="E14" s="82">
        <v>0.297864656768</v>
      </c>
      <c r="F14" s="82">
        <v>0.20754421313499999</v>
      </c>
      <c r="G14" s="82">
        <v>0.20754421313499999</v>
      </c>
      <c r="H14" s="83">
        <v>0.72299999999999998</v>
      </c>
      <c r="I14" s="83">
        <v>0.39924397590361443</v>
      </c>
      <c r="J14" s="83">
        <v>0.37097891566265062</v>
      </c>
      <c r="K14" s="83">
        <v>0.40513253012048189</v>
      </c>
      <c r="L14" s="83">
        <v>0.17884939823500001</v>
      </c>
      <c r="M14" s="83">
        <v>0.18501009494999998</v>
      </c>
      <c r="N14" s="83">
        <v>0.18315391170299999</v>
      </c>
      <c r="O14" s="83">
        <v>0.20982596293649997</v>
      </c>
    </row>
    <row r="15" spans="1:15" ht="15.75" customHeight="1" x14ac:dyDescent="0.25">
      <c r="B15" s="16" t="s">
        <v>68</v>
      </c>
      <c r="C15" s="80">
        <f>iron_deficiency_anaemia*C14</f>
        <v>0.14704405736537024</v>
      </c>
      <c r="D15" s="80">
        <f t="shared" ref="D15:O15" si="0">iron_deficiency_anaemia*D14</f>
        <v>0.14111986102512711</v>
      </c>
      <c r="E15" s="80">
        <f t="shared" si="0"/>
        <v>0.14111986102512711</v>
      </c>
      <c r="F15" s="80">
        <f t="shared" si="0"/>
        <v>9.832858598256855E-2</v>
      </c>
      <c r="G15" s="80">
        <f t="shared" si="0"/>
        <v>9.832858598256855E-2</v>
      </c>
      <c r="H15" s="80">
        <f t="shared" si="0"/>
        <v>0.34253697846614772</v>
      </c>
      <c r="I15" s="80">
        <f t="shared" si="0"/>
        <v>0.18915051891678503</v>
      </c>
      <c r="J15" s="80">
        <f t="shared" si="0"/>
        <v>0.17575933173683567</v>
      </c>
      <c r="K15" s="80">
        <f t="shared" si="0"/>
        <v>0.19194034957927447</v>
      </c>
      <c r="L15" s="80">
        <f t="shared" si="0"/>
        <v>8.4733793183825276E-2</v>
      </c>
      <c r="M15" s="80">
        <f t="shared" si="0"/>
        <v>8.7652557275114923E-2</v>
      </c>
      <c r="N15" s="80">
        <f t="shared" si="0"/>
        <v>8.6773150081606118E-2</v>
      </c>
      <c r="O15" s="80">
        <f t="shared" si="0"/>
        <v>9.9409614589237333E-2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0.316</v>
      </c>
      <c r="D2" s="81">
        <v>0.316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0.34600000000000003</v>
      </c>
      <c r="D3" s="81">
        <v>0.13900000000000001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0.17600000000000002</v>
      </c>
      <c r="D4" s="81">
        <v>0.17600000000000002</v>
      </c>
      <c r="E4" s="81">
        <v>0.49200000000000005</v>
      </c>
      <c r="F4" s="81">
        <v>0.53749999999999998</v>
      </c>
      <c r="G4" s="81">
        <v>0</v>
      </c>
    </row>
    <row r="5" spans="1:7" x14ac:dyDescent="0.25">
      <c r="B5" s="43" t="s">
        <v>169</v>
      </c>
      <c r="C5" s="80">
        <f>1-SUM(C2:C4)</f>
        <v>0.16199999999999992</v>
      </c>
      <c r="D5" s="80">
        <f>1-SUM(D2:D4)</f>
        <v>0.36899999999999999</v>
      </c>
      <c r="E5" s="80">
        <f>1-SUM(E2:E4)</f>
        <v>0.50800000000000001</v>
      </c>
      <c r="F5" s="80">
        <f>1-SUM(F2:F4)</f>
        <v>0.46250000000000002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0.24560999999999999</v>
      </c>
      <c r="D2" s="144">
        <v>0.2404</v>
      </c>
      <c r="E2" s="144">
        <v>0.23522999999999999</v>
      </c>
      <c r="F2" s="144">
        <v>0.23007999999999998</v>
      </c>
      <c r="G2" s="144">
        <v>0.22494</v>
      </c>
      <c r="H2" s="144">
        <v>0.21984000000000001</v>
      </c>
      <c r="I2" s="144">
        <v>0.21486</v>
      </c>
      <c r="J2" s="144">
        <v>0.20995</v>
      </c>
      <c r="K2" s="144">
        <v>0.20513000000000001</v>
      </c>
      <c r="L2" s="144">
        <v>0.20036999999999999</v>
      </c>
      <c r="M2" s="144">
        <v>0.19569</v>
      </c>
      <c r="N2" s="144">
        <v>0.19111</v>
      </c>
      <c r="O2" s="144">
        <v>0.18662999999999999</v>
      </c>
      <c r="P2" s="144">
        <v>0.18225999999999998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3.2599999999999997E-2</v>
      </c>
      <c r="D4" s="144">
        <v>3.1530000000000002E-2</v>
      </c>
      <c r="E4" s="144">
        <v>3.0510000000000002E-2</v>
      </c>
      <c r="F4" s="144">
        <v>2.954E-2</v>
      </c>
      <c r="G4" s="144">
        <v>2.8639999999999999E-2</v>
      </c>
      <c r="H4" s="144">
        <v>2.7779999999999999E-2</v>
      </c>
      <c r="I4" s="144">
        <v>2.6949999999999998E-2</v>
      </c>
      <c r="J4" s="144">
        <v>2.6160000000000003E-2</v>
      </c>
      <c r="K4" s="144">
        <v>2.5399999999999999E-2</v>
      </c>
      <c r="L4" s="144">
        <v>2.4670000000000001E-2</v>
      </c>
      <c r="M4" s="144">
        <v>2.3990000000000001E-2</v>
      </c>
      <c r="N4" s="144">
        <v>2.3330000000000004E-2</v>
      </c>
      <c r="O4" s="144">
        <v>2.2679999999999999E-2</v>
      </c>
      <c r="P4" s="144">
        <v>2.206E-2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0.10698557759675098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0.20803391127599116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9.0343491010820287E-2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0.316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0.52233333333333332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33.555999999999997</v>
      </c>
      <c r="D13" s="143">
        <v>32.488</v>
      </c>
      <c r="E13" s="143">
        <v>31.498000000000001</v>
      </c>
      <c r="F13" s="143">
        <v>30.51</v>
      </c>
      <c r="G13" s="143">
        <v>29.507999999999999</v>
      </c>
      <c r="H13" s="143">
        <v>28.443999999999999</v>
      </c>
      <c r="I13" s="143">
        <v>27.451000000000001</v>
      </c>
      <c r="J13" s="143">
        <v>26.521000000000001</v>
      </c>
      <c r="K13" s="143">
        <v>25.649000000000001</v>
      </c>
      <c r="L13" s="143">
        <v>25.032</v>
      </c>
      <c r="M13" s="143">
        <v>24.492999999999999</v>
      </c>
      <c r="N13" s="143">
        <v>23.989000000000001</v>
      </c>
      <c r="O13" s="143">
        <v>23.527000000000001</v>
      </c>
      <c r="P13" s="143">
        <v>23.128</v>
      </c>
    </row>
    <row r="14" spans="1:16" x14ac:dyDescent="0.25">
      <c r="B14" s="16" t="s">
        <v>170</v>
      </c>
      <c r="C14" s="143">
        <f>maternal_mortality</f>
        <v>7.89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0.55500000000000005</v>
      </c>
      <c r="E2" s="92">
        <f>food_insecure</f>
        <v>0.55500000000000005</v>
      </c>
      <c r="F2" s="92">
        <f>food_insecure</f>
        <v>0.55500000000000005</v>
      </c>
      <c r="G2" s="92">
        <f>food_insecure</f>
        <v>0.55500000000000005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0.55500000000000005</v>
      </c>
      <c r="F5" s="92">
        <f>food_insecure</f>
        <v>0.55500000000000005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3.8866111333076638E-2</v>
      </c>
      <c r="D7" s="92">
        <f>diarrhoea_1_5mo/26</f>
        <v>2.9248805749769232E-2</v>
      </c>
      <c r="E7" s="92">
        <f>diarrhoea_6_11mo/26</f>
        <v>2.9248805749769232E-2</v>
      </c>
      <c r="F7" s="92">
        <f>diarrhoea_12_23mo/26</f>
        <v>1.0685901058576922E-2</v>
      </c>
      <c r="G7" s="92">
        <f>diarrhoea_24_59mo/26</f>
        <v>1.0685901058576922E-2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0.55500000000000005</v>
      </c>
      <c r="F8" s="92">
        <f>food_insecure</f>
        <v>0.55500000000000005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0.87599999999999989</v>
      </c>
      <c r="E9" s="92">
        <f>IF(ISBLANK(comm_deliv), frac_children_health_facility,1)</f>
        <v>0.87599999999999989</v>
      </c>
      <c r="F9" s="92">
        <f>IF(ISBLANK(comm_deliv), frac_children_health_facility,1)</f>
        <v>0.87599999999999989</v>
      </c>
      <c r="G9" s="92">
        <f>IF(ISBLANK(comm_deliv), frac_children_health_facility,1)</f>
        <v>0.87599999999999989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3.8866111333076638E-2</v>
      </c>
      <c r="D11" s="92">
        <f>diarrhoea_1_5mo/26</f>
        <v>2.9248805749769232E-2</v>
      </c>
      <c r="E11" s="92">
        <f>diarrhoea_6_11mo/26</f>
        <v>2.9248805749769232E-2</v>
      </c>
      <c r="F11" s="92">
        <f>diarrhoea_12_23mo/26</f>
        <v>1.0685901058576922E-2</v>
      </c>
      <c r="G11" s="92">
        <f>diarrhoea_24_59mo/26</f>
        <v>1.0685901058576922E-2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0.55500000000000005</v>
      </c>
      <c r="I14" s="92">
        <f>food_insecure</f>
        <v>0.55500000000000005</v>
      </c>
      <c r="J14" s="92">
        <f>food_insecure</f>
        <v>0.55500000000000005</v>
      </c>
      <c r="K14" s="92">
        <f>food_insecure</f>
        <v>0.55500000000000005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0.755</v>
      </c>
      <c r="I17" s="92">
        <f>frac_PW_health_facility</f>
        <v>0.755</v>
      </c>
      <c r="J17" s="92">
        <f>frac_PW_health_facility</f>
        <v>0.755</v>
      </c>
      <c r="K17" s="92">
        <f>frac_PW_health_facility</f>
        <v>0.755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0.15</v>
      </c>
      <c r="I18" s="92">
        <f>frac_malaria_risk</f>
        <v>0.15</v>
      </c>
      <c r="J18" s="92">
        <f>frac_malaria_risk</f>
        <v>0.15</v>
      </c>
      <c r="K18" s="92">
        <f>frac_malaria_risk</f>
        <v>0.15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9.5369057086944473E-2</v>
      </c>
      <c r="M24" s="92">
        <f>(1-food_insecure)*(0.49)+food_insecure*(0.7)</f>
        <v>0.60654999999999992</v>
      </c>
      <c r="N24" s="92">
        <f>(1-food_insecure)*(0.49)+food_insecure*(0.7)</f>
        <v>0.60654999999999992</v>
      </c>
      <c r="O24" s="92">
        <f>(1-food_insecure)*(0.49)+food_insecure*(0.7)</f>
        <v>0.60654999999999992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4.0872453037261919E-2</v>
      </c>
      <c r="M25" s="92">
        <f>(1-food_insecure)*(0.21)+food_insecure*(0.3)</f>
        <v>0.25995000000000001</v>
      </c>
      <c r="N25" s="92">
        <f>(1-food_insecure)*(0.21)+food_insecure*(0.3)</f>
        <v>0.25995000000000001</v>
      </c>
      <c r="O25" s="92">
        <f>(1-food_insecure)*(0.21)+food_insecure*(0.3)</f>
        <v>0.25995000000000001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2.0990469245910619E-2</v>
      </c>
      <c r="M26" s="92">
        <f>(1-food_insecure)*(0.3)</f>
        <v>0.13349999999999998</v>
      </c>
      <c r="N26" s="92">
        <f>(1-food_insecure)*(0.3)</f>
        <v>0.13349999999999998</v>
      </c>
      <c r="O26" s="92">
        <f>(1-food_insecure)*(0.3)</f>
        <v>0.13349999999999998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0.84276802062988299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0.15</v>
      </c>
      <c r="D33" s="92">
        <f t="shared" si="3"/>
        <v>0.15</v>
      </c>
      <c r="E33" s="92">
        <f t="shared" si="3"/>
        <v>0.15</v>
      </c>
      <c r="F33" s="92">
        <f t="shared" si="3"/>
        <v>0.15</v>
      </c>
      <c r="G33" s="92">
        <f t="shared" si="3"/>
        <v>0.15</v>
      </c>
      <c r="H33" s="92">
        <f t="shared" si="3"/>
        <v>0.15</v>
      </c>
      <c r="I33" s="92">
        <f t="shared" si="3"/>
        <v>0.15</v>
      </c>
      <c r="J33" s="92">
        <f t="shared" si="3"/>
        <v>0.15</v>
      </c>
      <c r="K33" s="92">
        <f t="shared" si="3"/>
        <v>0.15</v>
      </c>
      <c r="L33" s="92">
        <f t="shared" si="3"/>
        <v>0.15</v>
      </c>
      <c r="M33" s="92">
        <f t="shared" si="3"/>
        <v>0.15</v>
      </c>
      <c r="N33" s="92">
        <f t="shared" si="3"/>
        <v>0.15</v>
      </c>
      <c r="O33" s="92">
        <f t="shared" si="3"/>
        <v>0.15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2020-03-24T06:50:35Z</dcterms:modified>
</cp:coreProperties>
</file>