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Optima Nutrition Work\SDG project data\Modelling\Optima\inputs\"/>
    </mc:Choice>
  </mc:AlternateContent>
  <xr:revisionPtr revIDLastSave="0" documentId="8_{A6B7CE1A-2F8A-4A81-9E48-6EA4DF882994}" xr6:coauthVersionLast="45" xr6:coauthVersionMax="45" xr10:uidLastSave="{00000000-0000-0000-0000-000000000000}"/>
  <bookViews>
    <workbookView xWindow="-110" yWindow="-110" windowWidth="19420" windowHeight="10420" tabRatio="894" firstSheet="2" activeTab="11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state="hidden" r:id="rId7"/>
    <sheet name="Treatment of SAM" sheetId="60" state="hidden" r:id="rId8"/>
    <sheet name="Programs target population" sheetId="21" state="hidden" r:id="rId9"/>
    <sheet name="Programs cost and coverage" sheetId="56" r:id="rId10"/>
    <sheet name="IYCF cost" sheetId="57" state="hidden" r:id="rId11"/>
    <sheet name="Program dependencies" sheetId="58" r:id="rId12"/>
    <sheet name="Reference programs" sheetId="59" state="hidden" r:id="rId13"/>
    <sheet name="Incidence of conditions" sheetId="7" state="hidden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state="hidden" r:id="rId26"/>
    <sheet name="Programs for children" sheetId="72" state="hidden" r:id="rId27"/>
    <sheet name="Programs for PW" sheetId="73" state="hidden" r:id="rId28"/>
  </sheet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7" l="1"/>
  <c r="C11" i="51"/>
  <c r="C10" i="51"/>
  <c r="C14" i="51"/>
  <c r="C15" i="5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/>
  <c r="G16" i="2"/>
  <c r="H16" i="2"/>
  <c r="G17" i="2"/>
  <c r="H17" i="2"/>
  <c r="G18" i="2"/>
  <c r="H18" i="2"/>
  <c r="G19" i="2"/>
  <c r="H19" i="2"/>
  <c r="I19" i="2" s="1"/>
  <c r="G20" i="2"/>
  <c r="H20" i="2"/>
  <c r="G21" i="2"/>
  <c r="H21" i="2"/>
  <c r="I21" i="2"/>
  <c r="G22" i="2"/>
  <c r="H22" i="2"/>
  <c r="I22" i="2" s="1"/>
  <c r="G23" i="2"/>
  <c r="H23" i="2"/>
  <c r="I23" i="2" s="1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40" i="2" s="1"/>
  <c r="I2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G5" i="50"/>
  <c r="F5" i="50"/>
  <c r="E5" i="50"/>
  <c r="D5" i="50"/>
  <c r="C5" i="50"/>
  <c r="C48" i="1"/>
  <c r="H3" i="2"/>
  <c r="H4" i="2"/>
  <c r="G4" i="2"/>
  <c r="H5" i="2"/>
  <c r="H6" i="2"/>
  <c r="H7" i="2"/>
  <c r="H8" i="2"/>
  <c r="H9" i="2"/>
  <c r="H10" i="2"/>
  <c r="I10" i="2" s="1"/>
  <c r="H11" i="2"/>
  <c r="I11" i="2" s="1"/>
  <c r="H12" i="2"/>
  <c r="I12" i="2" s="1"/>
  <c r="H13" i="2"/>
  <c r="H14" i="2"/>
  <c r="H15" i="2"/>
  <c r="C20" i="1"/>
  <c r="G3" i="2"/>
  <c r="G5" i="2"/>
  <c r="G6" i="2"/>
  <c r="G7" i="2"/>
  <c r="G8" i="2"/>
  <c r="G9" i="2"/>
  <c r="G10" i="2"/>
  <c r="G11" i="2"/>
  <c r="G12" i="2"/>
  <c r="G13" i="2"/>
  <c r="G14" i="2"/>
  <c r="G15" i="2"/>
  <c r="G2" i="2"/>
  <c r="I24" i="2"/>
  <c r="I18" i="2"/>
  <c r="I32" i="2"/>
  <c r="I20" i="2"/>
  <c r="I16" i="2"/>
  <c r="I36" i="2"/>
  <c r="A3" i="2"/>
  <c r="A24" i="2"/>
  <c r="A18" i="2"/>
  <c r="A36" i="2"/>
  <c r="A40" i="2"/>
  <c r="A22" i="2"/>
  <c r="A25" i="2"/>
  <c r="A29" i="2"/>
  <c r="A27" i="2"/>
  <c r="A31" i="2"/>
  <c r="A20" i="2"/>
  <c r="A16" i="2"/>
  <c r="I17" i="2"/>
  <c r="A19" i="2"/>
  <c r="A35" i="2"/>
  <c r="A28" i="2"/>
  <c r="A17" i="2"/>
  <c r="A33" i="2"/>
  <c r="A30" i="2"/>
  <c r="A26" i="2"/>
  <c r="A23" i="2"/>
  <c r="A39" i="2"/>
  <c r="A32" i="2"/>
  <c r="A21" i="2"/>
  <c r="A37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8" i="2"/>
  <c r="C8" i="51" l="1"/>
  <c r="C7" i="51"/>
  <c r="I15" i="2"/>
  <c r="I14" i="2"/>
  <c r="I13" i="2"/>
  <c r="I9" i="2"/>
  <c r="I8" i="2"/>
  <c r="I7" i="2"/>
  <c r="I6" i="2"/>
  <c r="I5" i="2"/>
  <c r="I4" i="2"/>
  <c r="I3" i="2"/>
  <c r="C6" i="5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7" authorId="0" shapeId="0" xr:uid="{503CB33D-1FDC-4AB6-AB6D-DB3602FC3BD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B91A5EC6-6107-4574-A211-D3401F2B0755}">
      <text>
        <r>
          <rPr>
            <sz val="9"/>
            <color indexed="81"/>
            <rFont val="Tahoma"/>
            <charset val="1"/>
          </rPr>
          <t>Source: LiST</t>
        </r>
      </text>
    </comment>
    <comment ref="C9" authorId="0" shapeId="0" xr:uid="{68540EF0-BB6C-4317-A7C8-8F63F645096E}">
      <text>
        <r>
          <rPr>
            <sz val="9"/>
            <color indexed="81"/>
            <rFont val="Tahoma"/>
            <charset val="1"/>
          </rPr>
          <t>Source: LiST [Percentage of women exposed]</t>
        </r>
      </text>
    </comment>
    <comment ref="C10" authorId="0" shapeId="0" xr:uid="{3E4AC8FE-AAE3-41A9-AC15-89AB67416DEB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11" authorId="0" shapeId="0" xr:uid="{DCF1F23F-6E89-41E7-9B90-6821E24EFF0D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2" authorId="0" shapeId="0" xr:uid="{83E6DE7C-F421-468A-8966-EDB74779574B}">
      <text>
        <r>
          <rPr>
            <sz val="9"/>
            <color indexed="81"/>
            <rFont val="Tahoma"/>
            <charset val="1"/>
          </rPr>
          <t>Source: UNICEF Data (Country level)</t>
        </r>
      </text>
    </comment>
    <comment ref="C13" authorId="0" shapeId="0" xr:uid="{20E5EE64-5537-49AA-9F90-281ED042A50A}">
      <text>
        <r>
          <rPr>
            <sz val="9"/>
            <color indexed="81"/>
            <rFont val="Tahoma"/>
            <charset val="1"/>
          </rPr>
          <t>Source: WHO Global Health Observatory (Country level)</t>
        </r>
      </text>
    </comment>
    <comment ref="C16" authorId="0" shapeId="0" xr:uid="{223A4F5A-321E-4AAF-94B3-838BAFFB77B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7" authorId="0" shapeId="0" xr:uid="{6609325F-1AEF-44E4-BDD5-7F4EE169368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8" authorId="0" shapeId="0" xr:uid="{10A2B28C-8861-46F3-9D14-00B670680237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19" authorId="0" shapeId="0" xr:uid="{B9A6F294-2C0D-4449-B31E-8CB1BFEF3E53}">
      <text>
        <r>
          <rPr>
            <sz val="9"/>
            <color indexed="81"/>
            <rFont val="Tahoma"/>
            <charset val="1"/>
          </rPr>
          <t>Source: [Filler data]</t>
        </r>
      </text>
    </comment>
    <comment ref="C23" authorId="0" shapeId="0" xr:uid="{7798762B-FDB6-4433-BA53-40FFBC304CD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4" authorId="0" shapeId="0" xr:uid="{1BE72789-225C-4264-8B6A-F831FDD4419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5" authorId="0" shapeId="0" xr:uid="{2E81534B-B1FA-4574-B6FA-F978E3C9F4EA}">
      <text>
        <r>
          <rPr>
            <sz val="9"/>
            <color indexed="81"/>
            <rFont val="Tahoma"/>
            <charset val="1"/>
          </rPr>
          <t>Source: LiST</t>
        </r>
      </text>
    </comment>
    <comment ref="C26" authorId="0" shapeId="0" xr:uid="{34B2AF17-F51C-440A-AC24-DB757CEE9A25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3BF62BBF-35C7-4F05-9E4F-4D417DA4E530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76933F7E-78B4-47D7-9896-F10249858C03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1BBE60E6-1922-422E-ADC8-85D5675D6A75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17664FEC-842D-4974-80AC-A83C09203182}">
      <text>
        <r>
          <rPr>
            <sz val="9"/>
            <color indexed="81"/>
            <rFont val="Tahoma"/>
            <charset val="1"/>
          </rPr>
          <t>Source: LiST</t>
        </r>
      </text>
    </comment>
    <comment ref="C37" authorId="0" shapeId="0" xr:uid="{100F78A8-169D-44AF-92A4-6460F0BBAAD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8" authorId="0" shapeId="0" xr:uid="{E7499AE8-B167-4A9D-B358-46FAC3AA5322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39" authorId="0" shapeId="0" xr:uid="{465D3388-A5DA-4FD1-8881-93659B64EE1E}">
      <text>
        <r>
          <rPr>
            <sz val="9"/>
            <color indexed="81"/>
            <rFont val="Tahoma"/>
            <charset val="1"/>
          </rPr>
          <t>Source: World Bank Development Indicators (Country level)</t>
        </r>
      </text>
    </comment>
    <comment ref="C40" authorId="0" shapeId="0" xr:uid="{7EE42309-21C2-4077-9D7E-07E06E6EB902}">
      <text>
        <r>
          <rPr>
            <sz val="9"/>
            <color indexed="81"/>
            <rFont val="Tahoma"/>
            <charset val="1"/>
          </rPr>
          <t>Source: UNICEF Data (2015) (Country level)</t>
        </r>
      </text>
    </comment>
    <comment ref="C41" authorId="0" shapeId="0" xr:uid="{2B01B141-DE96-458B-B870-519A963243CB}">
      <text>
        <r>
          <rPr>
            <sz val="9"/>
            <color indexed="81"/>
            <rFont val="Tahoma"/>
            <charset val="1"/>
          </rPr>
          <t>Source: LiST</t>
        </r>
      </text>
    </comment>
    <comment ref="C42" authorId="0" shapeId="0" xr:uid="{0CE084A0-73DD-4484-AD8C-6F5C48FE7522}">
      <text>
        <r>
          <rPr>
            <sz val="9"/>
            <color indexed="81"/>
            <rFont val="Tahoma"/>
            <charset val="1"/>
          </rPr>
          <t>Source: WHO Global Health Observatory (2015) (Country level)</t>
        </r>
      </text>
    </comment>
    <comment ref="C45" authorId="0" shapeId="0" xr:uid="{7F69B8F5-F90D-4528-BEEE-B3D014E2C965}">
      <text>
        <r>
          <rPr>
            <sz val="9"/>
            <color indexed="81"/>
            <rFont val="Tahoma"/>
            <charset val="1"/>
          </rPr>
          <t>Source: LiST</t>
        </r>
      </text>
    </comment>
    <comment ref="C46" authorId="0" shapeId="0" xr:uid="{53A1FD83-5A84-4D0F-B2A2-899CBF03A891}">
      <text>
        <r>
          <rPr>
            <sz val="9"/>
            <color indexed="81"/>
            <rFont val="Tahoma"/>
            <charset val="1"/>
          </rPr>
          <t>Source: LiST</t>
        </r>
      </text>
    </comment>
    <comment ref="C47" authorId="0" shapeId="0" xr:uid="{B0A4DB75-B358-4711-B540-486691EF1D78}">
      <text>
        <r>
          <rPr>
            <sz val="9"/>
            <color indexed="81"/>
            <rFont val="Tahoma"/>
            <charset val="1"/>
          </rPr>
          <t>Source: LiST</t>
        </r>
      </text>
    </comment>
    <comment ref="C51" authorId="0" shapeId="0" xr:uid="{6EB58547-AFE8-4EED-92F4-A22FF3E42EA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2" authorId="0" shapeId="0" xr:uid="{67E870FA-F45A-42D0-AA04-590A636C75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3" authorId="0" shapeId="0" xr:uid="{14A04DA1-5C2E-407E-862C-15C7363F9B3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4" authorId="0" shapeId="0" xr:uid="{CDB1A3AD-AC57-4080-BEF9-7BCF9FDC365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5" authorId="0" shapeId="0" xr:uid="{C524B56F-5BAD-4A8C-B355-0F33C6A5451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8" authorId="0" shapeId="0" xr:uid="{64164EE4-A29D-4E92-9404-09C99BEABBF8}">
      <text>
        <r>
          <rPr>
            <sz val="9"/>
            <color indexed="81"/>
            <rFont val="Tahoma"/>
            <charset val="1"/>
          </rPr>
          <t>Source: Global burden of childhood pneumonia and diarrhoea &lt;https://www.sciencedirect.com/science/article/pii/S0140673613602226?via%3Dihub&gt; (Region level)</t>
        </r>
      </text>
    </comment>
    <comment ref="C59" authorId="0" shapeId="0" xr:uid="{B09545E2-2998-4B61-A6BC-5D4B9153551E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8D10DC91-16C3-4E5C-A1D1-ACD1A4D2A8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2" authorId="0" shapeId="0" xr:uid="{2BBEF78A-B3B2-4C99-866A-F844CAE168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2" authorId="0" shapeId="0" xr:uid="{D3810C08-FD0F-4EDA-85B6-503B5063531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2" authorId="0" shapeId="0" xr:uid="{EDCB692F-182B-46B0-8BB7-E1D76193B67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2" authorId="0" shapeId="0" xr:uid="{A9F79927-3522-4B07-B804-71C63A8AF9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3" authorId="0" shapeId="0" xr:uid="{6271D127-F08D-406C-9794-9592B4E6370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3" authorId="0" shapeId="0" xr:uid="{35E20372-EAC5-44C7-8BF3-5CEF5F0C11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3" authorId="0" shapeId="0" xr:uid="{3EF1DD43-1931-458E-903B-526E64FA907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3" authorId="0" shapeId="0" xr:uid="{7A23F5CB-EA2F-4D15-B13B-57550C13E01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3" authorId="0" shapeId="0" xr:uid="{679BDB2D-1EF4-4609-BDF9-F9C563D666F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4" authorId="0" shapeId="0" xr:uid="{573F863F-1B9D-413D-9DFA-38C9BF97CEA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4" authorId="0" shapeId="0" xr:uid="{79E62962-4741-4A32-8BDC-57C509A04CD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4" authorId="0" shapeId="0" xr:uid="{D6C51605-D1A8-46AF-999C-4F5B35F5540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4" authorId="0" shapeId="0" xr:uid="{485393E1-F479-44D8-9833-43C30B17B87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4" authorId="0" shapeId="0" xr:uid="{0FEC84EE-6FE1-4BAF-BDB8-DC3F894AEE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5" authorId="0" shapeId="0" xr:uid="{4FAF5F05-C4EA-46D9-AF5C-60B82152ABC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5" authorId="0" shapeId="0" xr:uid="{57CCE7FF-9F07-4AAF-87E4-9B6CC787616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5" authorId="0" shapeId="0" xr:uid="{D4D8D2C3-E2B9-4312-AAC0-32004FFE287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5" authorId="0" shapeId="0" xr:uid="{F522C2A4-9816-4647-B20F-B8680CABB08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5" authorId="0" shapeId="0" xr:uid="{B99A5EB0-7112-4CF7-85F0-B6566D61C91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6" authorId="0" shapeId="0" xr:uid="{DC958FAC-0A24-49CD-BE9D-39C811E2169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6" authorId="0" shapeId="0" xr:uid="{36955375-C8B1-4F67-BB84-F3D52FFA499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6" authorId="0" shapeId="0" xr:uid="{49C63B2B-DF06-4292-A9E4-4EE157267EB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6" authorId="0" shapeId="0" xr:uid="{891A9576-E9FD-444D-8A6C-3C4F2226FCB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6" authorId="0" shapeId="0" xr:uid="{45F5FF5A-4138-4EF6-BA79-32BFF15EE1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7" authorId="0" shapeId="0" xr:uid="{44F71B3A-EE82-4955-BAC9-73A1C280F11D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7" authorId="0" shapeId="0" xr:uid="{7464F5DA-957E-4D73-9A03-C195BF369CF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7" authorId="0" shapeId="0" xr:uid="{B1545A72-6795-4A9B-AA94-E8C2ABA5ADE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7" authorId="0" shapeId="0" xr:uid="{955889B6-B7F3-47C5-96CA-7CD06907CE2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7" authorId="0" shapeId="0" xr:uid="{C424AA2E-B7CE-4B0C-B34D-5DD2DEC9B5C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8" authorId="0" shapeId="0" xr:uid="{F1260E9D-2890-40AD-95B2-FE2EC338647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8" authorId="0" shapeId="0" xr:uid="{7F8B50F1-5BCB-4109-8D72-49B31E2AC4D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8" authorId="0" shapeId="0" xr:uid="{39F16AF8-8DE1-4069-8308-03779EC3241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8" authorId="0" shapeId="0" xr:uid="{9B2A40BD-A6CD-47BB-8290-5B6D736EDC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8" authorId="0" shapeId="0" xr:uid="{DBAFE629-7F79-4B2A-8234-6331D6EADDC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9" authorId="0" shapeId="0" xr:uid="{F451C128-602F-4D5C-871B-C2DF6726A2C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9" authorId="0" shapeId="0" xr:uid="{0A312625-F8BA-4614-8136-0CE9412CD1A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9" authorId="0" shapeId="0" xr:uid="{625CA960-D7BB-43D2-B586-E494D2C3EF7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9" authorId="0" shapeId="0" xr:uid="{60E7302D-F2D8-4A79-AA9D-E59BACF4A3C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9" authorId="0" shapeId="0" xr:uid="{F14615E2-F2BF-46A1-88EC-E9612F9E760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0" authorId="0" shapeId="0" xr:uid="{842FDFE8-1794-4877-9842-9616B5FAF72C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0" authorId="0" shapeId="0" xr:uid="{2029392C-B754-483C-83C1-1AE5AD8E7A9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0" authorId="0" shapeId="0" xr:uid="{975C4608-931E-4F5C-9691-923FB267FC1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0" authorId="0" shapeId="0" xr:uid="{8F8DD32C-EE67-4C20-AAD5-75B880D9EE3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0" authorId="0" shapeId="0" xr:uid="{900B3FBB-98DF-46AA-9702-AAC1366E666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1" authorId="0" shapeId="0" xr:uid="{A9B3CB3E-E203-49B2-8836-406A5E48BD50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1" authorId="0" shapeId="0" xr:uid="{DA556EA0-BD38-4F4E-9486-FEAAFC1B2EF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1" authorId="0" shapeId="0" xr:uid="{4FF9137F-1A44-4A83-B4DD-49AD1ACE3B36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1" authorId="0" shapeId="0" xr:uid="{E3B28137-BE78-42FD-A552-4B71BE77F2A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1" authorId="0" shapeId="0" xr:uid="{DB2364F3-F31B-4D33-A89D-5F2B6A5EB482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2" authorId="0" shapeId="0" xr:uid="{695AF09A-289E-47A1-B942-F29FD5A75754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2" authorId="0" shapeId="0" xr:uid="{DBB147FB-E79A-4E9A-BDE5-4E137C13652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2" authorId="0" shapeId="0" xr:uid="{DFEF9001-D543-44DD-A5E8-3BD957293AB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2" authorId="0" shapeId="0" xr:uid="{7F44AC1F-FD40-46C7-A6D4-24DD5F3CCB58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2" authorId="0" shapeId="0" xr:uid="{AED2E758-8072-42C2-A22C-75460D2D42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3" authorId="0" shapeId="0" xr:uid="{ED68D807-B8FA-4C07-AB1F-0F5F6DD6F7D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3" authorId="0" shapeId="0" xr:uid="{92441E9E-C25E-4D6C-B5F3-0BF967EC645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3" authorId="0" shapeId="0" xr:uid="{CCBDF8B0-390C-4A80-B849-FB606A2386B1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3" authorId="0" shapeId="0" xr:uid="{9F9E89D0-4CE0-46F3-AE72-3BBD6095D96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3" authorId="0" shapeId="0" xr:uid="{35718111-6902-4131-9364-2C164BF1381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4" authorId="0" shapeId="0" xr:uid="{A45F95D1-94D7-4CAD-A956-3912E2A5D73A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4" authorId="0" shapeId="0" xr:uid="{A11C2481-F269-4134-B61B-B379168DB039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4" authorId="0" shapeId="0" xr:uid="{EA1BC966-6CFE-49E8-B296-2F6565B2181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4" authorId="0" shapeId="0" xr:uid="{A28C4739-CB1E-4A53-A5D5-6452393570FF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4" authorId="0" shapeId="0" xr:uid="{8212C696-3777-4D3C-B28C-3F37C800FF55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B15" authorId="0" shapeId="0" xr:uid="{5A69E698-B5E7-4B0D-92B8-D63E56B07BAE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C15" authorId="0" shapeId="0" xr:uid="{D2F24D4C-A2B9-4583-9815-1A2A3EE65D8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D15" authorId="0" shapeId="0" xr:uid="{56B6AE85-8955-4D32-9754-973399DD673B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E15" authorId="0" shapeId="0" xr:uid="{C3331783-AF2E-42F8-9664-B3E9DA33ACD3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  <comment ref="F15" authorId="0" shapeId="0" xr:uid="{0534AABA-C01D-48D4-A2AB-04CF7E1A6087}">
      <text>
        <r>
          <rPr>
            <sz val="9"/>
            <color indexed="81"/>
            <rFont val="Tahoma"/>
            <charset val="1"/>
          </rPr>
          <t>Source: Population Estimates and Projections, World Bank Group (Country level)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3" authorId="0" shapeId="0" xr:uid="{AB43A6F6-9A2B-4703-94D0-5B5C3E08104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B84FDCF8-65A2-414E-89A5-849CA99C9D9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5" authorId="0" shapeId="0" xr:uid="{D42BBFCF-880B-4D78-9847-6FDED8328F8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6" authorId="0" shapeId="0" xr:uid="{8A4EB080-EE4F-4101-B5EF-4D463D5A80B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7" authorId="0" shapeId="0" xr:uid="{BDF11797-FE41-4FEB-A88F-D678F2027C8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8" authorId="0" shapeId="0" xr:uid="{34BE0168-63A0-4293-8575-EA02A7A7CF4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9" authorId="0" shapeId="0" xr:uid="{B7CD628E-928A-479B-B06E-FDF8F40AA42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0" authorId="0" shapeId="0" xr:uid="{8329659E-5388-4C64-9080-F49076DD868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4" authorId="0" shapeId="0" xr:uid="{D3BD994C-42E4-4020-9683-5312E7EA87E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4" authorId="0" shapeId="0" xr:uid="{B6F10820-4794-4C5B-8576-8D4965FA67B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408B00FC-3417-49B3-886E-2C5461907DC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4" authorId="0" shapeId="0" xr:uid="{93FA9C8C-62B0-4766-AFAB-2C5BE91D0EE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5" authorId="0" shapeId="0" xr:uid="{2374749D-E49C-4D9A-8150-31B16A3A3A5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5" authorId="0" shapeId="0" xr:uid="{369EDF2F-09DB-4EC7-B744-9260087E9D1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5" authorId="0" shapeId="0" xr:uid="{63315241-C872-425E-BD1A-04191478902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5" authorId="0" shapeId="0" xr:uid="{4F35CA94-297D-47B5-A508-82AD2BF4A40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6" authorId="0" shapeId="0" xr:uid="{655AE50F-6721-4799-9720-13D597E8A6C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6" authorId="0" shapeId="0" xr:uid="{106610EF-599C-4F0D-B3A0-5483DC8270F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6" authorId="0" shapeId="0" xr:uid="{B51BE51A-7178-4800-926C-52ED70E2E89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6" authorId="0" shapeId="0" xr:uid="{DDD6691D-D904-41A3-86CF-B5C1BE558F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7" authorId="0" shapeId="0" xr:uid="{220A7DF0-D7DC-4AD9-B175-1EE747DA048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7" authorId="0" shapeId="0" xr:uid="{E9F7D336-D5C8-4EA3-B4F6-7F4F9186382A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7" authorId="0" shapeId="0" xr:uid="{5F8613A3-7286-45DE-AF43-E0BC92388E48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7" authorId="0" shapeId="0" xr:uid="{E9680ADE-DBEC-478F-BE4C-67DE2D35B3DC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8" authorId="0" shapeId="0" xr:uid="{162E44F3-EB27-4197-B36B-7BD952F8B39B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8" authorId="0" shapeId="0" xr:uid="{51A60946-D3F7-4B3A-94F1-88D3B3FBDA0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8" authorId="0" shapeId="0" xr:uid="{DA8127C0-C8DF-4E49-B01D-09032444BACF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8" authorId="0" shapeId="0" xr:uid="{84F8F049-A194-40A0-838D-CBD1DDE0C80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19" authorId="0" shapeId="0" xr:uid="{EB414CD0-E156-460A-BF97-B6D452EA1B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19" authorId="0" shapeId="0" xr:uid="{2E64EF62-D064-4623-B1E7-0124A59DD3D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9" authorId="0" shapeId="0" xr:uid="{DBC140EE-4090-4F7E-BE66-E67EE1B2D95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19" authorId="0" shapeId="0" xr:uid="{66D6EBAE-2686-456C-9E90-D072316109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0" authorId="0" shapeId="0" xr:uid="{6990D64B-4092-4CBD-B05A-84B484285CF3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0" authorId="0" shapeId="0" xr:uid="{A11E6C64-E2B7-4608-A97C-77664FE0F490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0" authorId="0" shapeId="0" xr:uid="{88A8CD5E-EE65-45A3-B620-CE60BFCCE07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0" authorId="0" shapeId="0" xr:uid="{05250C9C-D2B9-450A-BE43-CB1E41633F11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1" authorId="0" shapeId="0" xr:uid="{BF0EC306-D64F-44DD-BC80-5F4FEC2015AE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1" authorId="0" shapeId="0" xr:uid="{B28C5236-38C4-4ADD-95E8-C79CEAA7D905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1" authorId="0" shapeId="0" xr:uid="{7066B9A6-E286-465E-B7CC-262F76EBE2A7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1" authorId="0" shapeId="0" xr:uid="{E3D394B5-676B-46A4-9ACA-ABB674BFECDD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2" authorId="0" shapeId="0" xr:uid="{0DBDD10A-8A47-4202-ACF0-A0C2421CB449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D22" authorId="0" shapeId="0" xr:uid="{775397F9-396B-4E22-84B7-967F3F412808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22" authorId="0" shapeId="0" xr:uid="{BA9A748B-010F-4D3B-86FC-4F1429215433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F22" authorId="0" shapeId="0" xr:uid="{42B73728-9AE6-4E9F-B437-C133F345B8A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C26" authorId="0" shapeId="0" xr:uid="{CFB270DF-472D-4F0D-AA14-E10BF876546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7" authorId="0" shapeId="0" xr:uid="{1C404B4C-6F82-48B6-BA14-7253B30116A4}">
      <text>
        <r>
          <rPr>
            <sz val="9"/>
            <color indexed="81"/>
            <rFont val="Tahoma"/>
            <charset val="1"/>
          </rPr>
          <t>Source: LiST</t>
        </r>
      </text>
    </comment>
    <comment ref="C28" authorId="0" shapeId="0" xr:uid="{237F8AA6-AEA6-4FC7-B30F-61DA7B364688}">
      <text>
        <r>
          <rPr>
            <sz val="9"/>
            <color indexed="81"/>
            <rFont val="Tahoma"/>
            <charset val="1"/>
          </rPr>
          <t>Source: LiST</t>
        </r>
      </text>
    </comment>
    <comment ref="C29" authorId="0" shapeId="0" xr:uid="{B2FAED32-A7EB-4CC5-B6FF-2A3E28527F56}">
      <text>
        <r>
          <rPr>
            <sz val="9"/>
            <color indexed="81"/>
            <rFont val="Tahoma"/>
            <charset val="1"/>
          </rPr>
          <t>Source: LiST</t>
        </r>
      </text>
    </comment>
    <comment ref="C30" authorId="0" shapeId="0" xr:uid="{6E28B54A-7677-4C7F-8F5E-7719DC5F84BA}">
      <text>
        <r>
          <rPr>
            <sz val="9"/>
            <color indexed="81"/>
            <rFont val="Tahoma"/>
            <charset val="1"/>
          </rPr>
          <t>Source: LiST</t>
        </r>
      </text>
    </comment>
    <comment ref="C31" authorId="0" shapeId="0" xr:uid="{DCBCDA79-63DC-4EEC-B279-4F46BB8E8DDC}">
      <text>
        <r>
          <rPr>
            <sz val="9"/>
            <color indexed="81"/>
            <rFont val="Tahoma"/>
            <charset val="1"/>
          </rPr>
          <t>Source: LiST</t>
        </r>
      </text>
    </comment>
    <comment ref="C32" authorId="0" shapeId="0" xr:uid="{CF6B8453-83C3-4137-9983-6BEEDB578F18}">
      <text>
        <r>
          <rPr>
            <sz val="9"/>
            <color indexed="81"/>
            <rFont val="Tahoma"/>
            <charset val="1"/>
          </rPr>
          <t>Source: LiST</t>
        </r>
      </text>
    </comment>
    <comment ref="C33" authorId="0" shapeId="0" xr:uid="{0E7E0EC2-A4E1-470D-8D32-0F75FE024909}">
      <text>
        <r>
          <rPr>
            <sz val="9"/>
            <color indexed="81"/>
            <rFont val="Tahoma"/>
            <charset val="1"/>
          </rPr>
          <t>Source: LiST</t>
        </r>
      </text>
    </comment>
    <comment ref="C34" authorId="0" shapeId="0" xr:uid="{E965DA43-BD82-42F2-8072-6F28D9C4A7D1}">
      <text>
        <r>
          <rPr>
            <sz val="9"/>
            <color indexed="81"/>
            <rFont val="Tahoma"/>
            <charset val="1"/>
          </rPr>
          <t>Source: 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3F38FEF3-34E8-4A17-B11C-195158E7BCCF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2" authorId="0" shapeId="0" xr:uid="{B6BA93B2-9D42-4874-8529-A85C145B5D3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2" authorId="0" shapeId="0" xr:uid="{DED80219-EB89-48A0-A808-EB7BADA30DC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2" authorId="0" shapeId="0" xr:uid="{3075589E-0F69-4940-9EDA-8784A3925EB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2" authorId="0" shapeId="0" xr:uid="{5FEBA082-826C-471A-B15A-7D73377A17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3" authorId="0" shapeId="0" xr:uid="{A4A5EA4C-634B-435B-BF2E-B420B2C322A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3" authorId="0" shapeId="0" xr:uid="{AE5EE75F-04F2-42F2-9928-F58CADFF027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3" authorId="0" shapeId="0" xr:uid="{6494EA34-32A9-4755-A7C3-93AE54ACC34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3" authorId="0" shapeId="0" xr:uid="{91AA733C-DCE9-4629-BB77-143FDE5B18E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3" authorId="0" shapeId="0" xr:uid="{23B0201A-F11E-4227-B0AB-2E40DCC806D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4" authorId="0" shapeId="0" xr:uid="{90F938E3-6AD3-49A5-B721-EA4FE86E0A4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4" authorId="0" shapeId="0" xr:uid="{9B3B9E77-A375-4652-91A7-395AC8879A67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4" authorId="0" shapeId="0" xr:uid="{F166B5E6-F6EA-48B1-BD65-BCA3633A168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4" authorId="0" shapeId="0" xr:uid="{7D5D878E-D8B2-46E8-A312-7252D06963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4" authorId="0" shapeId="0" xr:uid="{86C01736-796B-40D9-A31C-BBC101F1301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5" authorId="0" shapeId="0" xr:uid="{619D8E01-1203-4DE9-82C5-6615C59B9F2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5" authorId="0" shapeId="0" xr:uid="{9200F08D-39B9-4F5D-8F1D-94F7C4AD948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5" authorId="0" shapeId="0" xr:uid="{44381ED2-BF34-42E6-A993-98719A444FE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5" authorId="0" shapeId="0" xr:uid="{26470778-B93C-49E5-BE7F-2B194D449FF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5" authorId="0" shapeId="0" xr:uid="{57B1CBAE-F788-4E4A-92CA-2D5B49193F9D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8" authorId="0" shapeId="0" xr:uid="{A006CEE5-6057-46E7-9626-11C0C97C9CE5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8" authorId="0" shapeId="0" xr:uid="{E35ABC31-9BD5-4BB7-B0E2-7F761DA3165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8" authorId="0" shapeId="0" xr:uid="{E7299A4B-13DB-4054-B186-C9314065540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8" authorId="0" shapeId="0" xr:uid="{D785D2C9-5AEB-4AC4-8B93-3F712EBF0346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8" authorId="0" shapeId="0" xr:uid="{7885C596-656D-4D2C-9800-C7BE3043C3C8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9" authorId="0" shapeId="0" xr:uid="{CBD1CF69-3AC8-4E3A-930C-6A3D3C58EA1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9" authorId="0" shapeId="0" xr:uid="{4C98080F-3737-4400-A6B0-F581D26375B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9" authorId="0" shapeId="0" xr:uid="{3BA79926-A92F-4DFE-9692-AEB8EB33023A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9" authorId="0" shapeId="0" xr:uid="{49962B0B-842F-447A-8BF9-ECB138338C6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9" authorId="0" shapeId="0" xr:uid="{8F3CF464-B003-4210-9127-E1C4FBD66D2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0" authorId="0" shapeId="0" xr:uid="{C84E9651-8A45-4BBA-B7A3-0631F50D74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0" authorId="0" shapeId="0" xr:uid="{5473DC95-A2B2-4EE5-9630-5A5A1392D27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0" authorId="0" shapeId="0" xr:uid="{3976C05A-A14C-4AC9-B932-BADC805BD9D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0" authorId="0" shapeId="0" xr:uid="{EC4E0078-589A-454F-803C-2EFC4FF7D699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0" authorId="0" shapeId="0" xr:uid="{A6C456E3-8E6B-4AE4-8B36-2C770950BF0C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1" authorId="0" shapeId="0" xr:uid="{AB6AD785-876C-455A-A7BD-F9951D6C457B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D11" authorId="0" shapeId="0" xr:uid="{51037FE3-FA40-4EC3-B2D1-F16204A760EE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E11" authorId="0" shapeId="0" xr:uid="{0E5F23BF-6861-431F-9D3F-628696638522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F11" authorId="0" shapeId="0" xr:uid="{C6B18FA5-EB7A-4F64-AD1A-294645B52C44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G11" authorId="0" shapeId="0" xr:uid="{B165C1EE-0220-47E6-B250-852E9C417CC1}">
      <text>
        <r>
          <rPr>
            <sz val="9"/>
            <color indexed="81"/>
            <rFont val="Tahoma"/>
            <charset val="1"/>
          </rPr>
          <t>Source: JME (Country level)</t>
        </r>
      </text>
    </comment>
    <comment ref="C14" authorId="0" shapeId="0" xr:uid="{56C43917-FEE3-4A5E-9E0C-6911BB4C75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4" authorId="0" shapeId="0" xr:uid="{97D38844-DD7D-4EFB-9411-DE6AA4AD1F62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E14" authorId="0" shapeId="0" xr:uid="{5B6E7588-946A-4084-9D62-10F0F78598C6}">
      <text>
        <r>
          <rPr>
            <sz val="9"/>
            <color indexed="81"/>
            <rFont val="Tahoma"/>
            <charset val="1"/>
          </rPr>
          <t>Source: IMHE, GBD 2017 (Country level) [1-11 months not separable]</t>
        </r>
      </text>
    </comment>
    <comment ref="F14" authorId="0" shapeId="0" xr:uid="{AE9495C5-B1F9-4D8F-8750-347EA0DC7BDE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G14" authorId="0" shapeId="0" xr:uid="{3156EEB9-5312-452C-9E00-0DFA9BA00594}">
      <text>
        <r>
          <rPr>
            <sz val="9"/>
            <color indexed="81"/>
            <rFont val="Tahoma"/>
            <charset val="1"/>
          </rPr>
          <t>Source: IMHE, GBD 2017 (Country level) [12-59 months not separable]</t>
        </r>
      </text>
    </comment>
    <comment ref="H14" authorId="0" shapeId="0" xr:uid="{6497AC28-4621-4AED-94B0-C26269A727E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I14" authorId="0" shapeId="0" xr:uid="{4ABE7AE4-0ABF-44D0-8052-92EBE2982124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J14" authorId="0" shapeId="0" xr:uid="{DA0F4145-367C-41FE-A56C-7CAEED2F7989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K14" authorId="0" shapeId="0" xr:uid="{A6E26448-230E-4CA9-BFD9-D6571E22ADF6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L14" authorId="0" shapeId="0" xr:uid="{B14C68E6-F36B-4DAB-AC71-50D0F7FB31E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4" authorId="0" shapeId="0" xr:uid="{3B1C4F1F-BEAF-4FA2-825A-B68531DAEE8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4" authorId="0" shapeId="0" xr:uid="{D8D0EBC2-143D-4D02-9183-880D10AAEA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4" authorId="0" shapeId="0" xr:uid="{3673D368-3506-432C-9938-49A228800A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  <author>Dominic Delport</author>
  </authors>
  <commentList>
    <comment ref="C2" authorId="0" shapeId="0" xr:uid="{392292ED-912B-4E97-9C84-6A215FCD408C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2" authorId="0" shapeId="0" xr:uid="{FED12F12-2B43-4617-A725-94C81B0684D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2" authorId="1" shapeId="0" xr:uid="{6B0A09E8-7C93-4372-8C15-8B0F45D5AEFD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3" authorId="0" shapeId="0" xr:uid="{99F9B6B0-5A91-4F4D-879A-7C4062B01524}">
      <text>
        <r>
          <rPr>
            <sz val="9"/>
            <color indexed="81"/>
            <rFont val="Tahoma"/>
            <charset val="1"/>
          </rPr>
          <t>Source: LiST</t>
        </r>
      </text>
    </comment>
    <comment ref="D3" authorId="0" shapeId="0" xr:uid="{6B006594-8786-4E5D-9F4B-431D443EA00A}">
      <text>
        <r>
          <rPr>
            <sz val="9"/>
            <color indexed="81"/>
            <rFont val="Tahoma"/>
            <charset val="1"/>
          </rPr>
          <t>Source: LiST</t>
        </r>
      </text>
    </comment>
    <comment ref="G3" authorId="1" shapeId="0" xr:uid="{F82038E1-BF1B-4424-AEC2-4BAF11F0EBE0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  <comment ref="C4" authorId="0" shapeId="0" xr:uid="{046184F7-9E0C-40B0-B31B-A57EDA3E6001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4" authorId="0" shapeId="0" xr:uid="{C05E316F-771B-486A-B4C9-909E65EFC7E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E4" authorId="0" shapeId="0" xr:uid="{CA11F85D-0FB1-46D0-BA56-EAB323D18C8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F4" authorId="0" shapeId="0" xr:uid="{DE56658B-1247-42F0-99AD-58A33671B82F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G4" authorId="1" shapeId="0" xr:uid="{FAE873A1-7BE6-4206-AB91-1C6BBEAAB062}">
      <text>
        <r>
          <rPr>
            <sz val="9"/>
            <color indexed="81"/>
            <rFont val="Tahoma"/>
            <family val="2"/>
          </rPr>
          <t xml:space="preserve">No data available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C2" authorId="0" shapeId="0" xr:uid="{469F83B3-4F44-4174-A609-A95BE6A6F54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2" authorId="0" shapeId="0" xr:uid="{CD0CE75F-0D73-433E-9400-A661D43BA6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2" authorId="0" shapeId="0" xr:uid="{DCAC224D-A76B-46BF-AE8F-6D5B5FE7310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2" authorId="0" shapeId="0" xr:uid="{33A4D7FD-FDC6-42F7-8C10-4379B8AB6AC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2" authorId="0" shapeId="0" xr:uid="{BBA40769-F259-4AA4-BFBA-303D114BFA11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2" authorId="0" shapeId="0" xr:uid="{5E497258-3C9A-4965-AA26-FC997BAF3D1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2" authorId="0" shapeId="0" xr:uid="{5DB3A6F7-5BB3-4D34-88B8-01A8B8F39F4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2" authorId="0" shapeId="0" xr:uid="{4CEDF2B9-FEA9-4BB7-BE6B-D09DBB1249F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2" authorId="0" shapeId="0" xr:uid="{755204D5-54CC-4B3C-888B-999E12FC239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2" authorId="0" shapeId="0" xr:uid="{FC362C32-861A-4BAD-9B62-FB39FAA97FD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2" authorId="0" shapeId="0" xr:uid="{FDCB2344-51B3-448A-A1C0-1E5B4B524C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2" authorId="0" shapeId="0" xr:uid="{D0843245-9D86-4291-B9BF-6534D9C3590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2" authorId="0" shapeId="0" xr:uid="{80F9EAF3-226F-4856-8D0F-D8C8C680FDB8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2" authorId="0" shapeId="0" xr:uid="{BC55AC54-F317-4415-8F14-7EC3DB530F2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4" authorId="0" shapeId="0" xr:uid="{FACC846E-9C7D-4959-B5E2-EB914509716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4" authorId="0" shapeId="0" xr:uid="{B0BD3F98-1F3C-4028-83C4-5CCCA05FDDB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4" authorId="0" shapeId="0" xr:uid="{85EB91D4-0DB1-4404-BE5D-E658C6904CC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4" authorId="0" shapeId="0" xr:uid="{73E08A49-0B75-4CEB-85E6-322BC348CC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4" authorId="0" shapeId="0" xr:uid="{8EAF5C86-4C33-4826-B400-4A0AE8925D5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4" authorId="0" shapeId="0" xr:uid="{C664AA1B-9CF1-4799-A678-D8A05D2EFADE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4" authorId="0" shapeId="0" xr:uid="{DB183184-61A6-45E1-A34C-5265E21E57A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4" authorId="0" shapeId="0" xr:uid="{348A04EA-2F26-4554-BA22-71A7D76A8D1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4" authorId="0" shapeId="0" xr:uid="{F07275BC-E1AE-43AA-9EA1-0C249AC7F3E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4" authorId="0" shapeId="0" xr:uid="{3EC13EE7-8EDD-4964-8399-5847F744D21D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4" authorId="0" shapeId="0" xr:uid="{E4BF45AE-517D-4D37-A8CA-D2F9B0DB2D8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4" authorId="0" shapeId="0" xr:uid="{27F5B050-0126-45D0-8BDA-5CD2ED568649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4" authorId="0" shapeId="0" xr:uid="{24B20800-74CE-418B-BAB2-BF63F11AE75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4" authorId="0" shapeId="0" xr:uid="{0D3D7C9A-094A-4B2F-9124-1503B65E7A2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C13" authorId="0" shapeId="0" xr:uid="{5DD6622E-58BF-4B34-810F-2D3FA1BFC913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D13" authorId="0" shapeId="0" xr:uid="{BA17A6C6-6FB9-4A7C-AED2-1AA33FED9792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E13" authorId="0" shapeId="0" xr:uid="{41E718C6-2EFA-4CEC-86A6-352229EE02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F13" authorId="0" shapeId="0" xr:uid="{EA609CAF-A620-4AE8-BBB7-C10B99EFE6E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G13" authorId="0" shapeId="0" xr:uid="{4BF39033-5383-4F68-ADA3-94976B40342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H13" authorId="0" shapeId="0" xr:uid="{05EB2EBF-AD2B-40EC-A0A7-9E93A3EC599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I13" authorId="0" shapeId="0" xr:uid="{C4C9F5F9-61C8-41FE-AC14-BC75ADBCB844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J13" authorId="0" shapeId="0" xr:uid="{F47CEDB8-F7C2-49B7-BBBD-F19922ED548C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K13" authorId="0" shapeId="0" xr:uid="{2AEA5EDF-1C34-4524-AE50-0C25D40E4600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L13" authorId="0" shapeId="0" xr:uid="{F3835329-69DC-47C9-A049-DB7BBEFFFA55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M13" authorId="0" shapeId="0" xr:uid="{028FC5AE-A531-43D1-BBE7-BA738B57176F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N13" authorId="0" shapeId="0" xr:uid="{1DEB03CE-17FD-43C0-BE81-F212FF0D5CE6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O13" authorId="0" shapeId="0" xr:uid="{ED861772-1D11-4220-B080-C88693456197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  <comment ref="P13" authorId="0" shapeId="0" xr:uid="{30DACBF9-6CD5-47A5-92E9-54E6AE27E5BA}">
      <text>
        <r>
          <rPr>
            <sz val="9"/>
            <color indexed="81"/>
            <rFont val="Tahoma"/>
            <charset val="1"/>
          </rPr>
          <t>Source: IMHE, GBD 2017 (Country level)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B2" authorId="0" shapeId="0" xr:uid="{1D3C0CC5-6541-4942-AC96-B5E03B466AC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" authorId="0" shapeId="0" xr:uid="{2F28FD1C-268F-45CF-8225-6CFAA575CE0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" authorId="0" shapeId="0" xr:uid="{CA19ED08-EFE1-43C5-9A4A-3AA5BB31FB23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3" authorId="0" shapeId="0" xr:uid="{A0ECF4E2-4EB0-4F1D-873E-3AE57CC58F6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D4" authorId="0" shapeId="0" xr:uid="{359E2FAD-A6BA-48D1-AE5C-5586344175EA}">
      <text>
        <r>
          <rPr>
            <sz val="9"/>
            <color indexed="81"/>
            <rFont val="Tahoma"/>
            <charset val="1"/>
          </rPr>
          <t>Source: 10% of GDP per capita</t>
        </r>
      </text>
    </comment>
    <comment ref="D5" authorId="0" shapeId="0" xr:uid="{97A14CD2-9E52-44C8-9AB3-3A9693CDE129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B7" authorId="0" shapeId="0" xr:uid="{209A548C-BFDF-4E58-811C-9126BFFE32E7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7" authorId="0" shapeId="0" xr:uid="{26B551E4-8300-4CC3-9B94-8ECDC5B13B72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8" authorId="0" shapeId="0" xr:uid="{45B5CF8D-1CDA-498B-93AB-789FBD0C916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8" authorId="0" shapeId="0" xr:uid="{F6FF891E-7283-418F-AA69-BD8E41CAEB41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9" authorId="0" shapeId="0" xr:uid="{887D2D15-140A-461E-B7F3-BD21B84177B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9" authorId="0" shapeId="0" xr:uid="{2CFDB782-B7B2-4CF3-A6AD-D77049544AF5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10" authorId="0" shapeId="0" xr:uid="{A1D9D742-71F6-4781-B976-8420288E1B34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0" authorId="0" shapeId="0" xr:uid="{D4E32FB6-842B-4496-8400-1C5884449A40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1" authorId="0" shapeId="0" xr:uid="{19DEA5EB-8363-407D-A973-AEAA03B08F5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1" authorId="0" shapeId="0" xr:uid="{D54A705F-9E11-419D-B8C7-C3E6A26ABE55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2" authorId="0" shapeId="0" xr:uid="{3711B8FC-6D15-47C1-9E4F-DA7DD157B59E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2" authorId="0" shapeId="0" xr:uid="{AC35087B-0EEC-41F9-8D15-129D47F0379E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3" authorId="0" shapeId="0" xr:uid="{7FE12780-CAEC-4274-ADCC-F2D7E41EC3A6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13" authorId="0" shapeId="0" xr:uid="{A8009F42-8B1C-4EBA-98A3-8316D491D9A1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4" authorId="0" shapeId="0" xr:uid="{806A440C-1145-43EB-97E0-D541E7DA3579}">
      <text>
        <r>
          <rPr>
            <sz val="9"/>
            <color indexed="81"/>
            <rFont val="Tahoma"/>
            <charset val="1"/>
          </rPr>
          <t>Source: LiST</t>
        </r>
      </text>
    </comment>
    <comment ref="D14" authorId="0" shapeId="0" xr:uid="{50B71153-28E2-4646-AC4B-4DE89ADFBB88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5" authorId="0" shapeId="0" xr:uid="{D4B008E2-C7CD-47C2-96FF-1A6D415B62EB}">
      <text>
        <r>
          <rPr>
            <sz val="9"/>
            <color indexed="81"/>
            <rFont val="Tahoma"/>
            <charset val="1"/>
          </rPr>
          <t>Source: LiST</t>
        </r>
      </text>
    </comment>
    <comment ref="D15" authorId="0" shapeId="0" xr:uid="{4BAC083B-8B74-48E8-9702-AA667F47686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6" authorId="0" shapeId="0" xr:uid="{7F053AFB-9C25-4728-8944-5BF101DF3E2D}">
      <text>
        <r>
          <rPr>
            <sz val="9"/>
            <color indexed="81"/>
            <rFont val="Tahoma"/>
            <charset val="1"/>
          </rPr>
          <t>Source: LiST</t>
        </r>
      </text>
    </comment>
    <comment ref="D16" authorId="0" shapeId="0" xr:uid="{616341D4-87BE-4D15-83B5-420EA78F807C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7" authorId="0" shapeId="0" xr:uid="{D2E69A9C-75C8-48BF-A86B-4EC47E585B3C}">
      <text>
        <r>
          <rPr>
            <sz val="9"/>
            <color indexed="81"/>
            <rFont val="Tahoma"/>
            <charset val="1"/>
          </rPr>
          <t>Source: UNICEF State of the World's Children coverage map 2017 &lt;http://www.ign.org/cm_data/UNICEF_map.jpg&gt;</t>
        </r>
      </text>
    </comment>
    <comment ref="D17" authorId="0" shapeId="0" xr:uid="{882FEFE8-466D-4746-830A-99F172147D7E}">
      <text>
        <r>
          <rPr>
            <sz val="9"/>
            <color indexed="81"/>
            <rFont val="Tahoma"/>
            <charset val="1"/>
          </rPr>
          <t>Source: Costing based upon estimates by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18" authorId="0" shapeId="0" xr:uid="{F437B0FA-B7E5-4810-8439-9C254573994E}">
      <text>
        <r>
          <rPr>
            <sz val="9"/>
            <color indexed="81"/>
            <rFont val="Tahoma"/>
            <charset val="1"/>
          </rPr>
          <t>Source: LiST</t>
        </r>
      </text>
    </comment>
    <comment ref="D18" authorId="0" shapeId="0" xr:uid="{59F8DF9B-FDD2-4D95-BFBA-C32B55C9DF4A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19" authorId="0" shapeId="0" xr:uid="{210661E7-92E6-474D-877A-538043D156D9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D20" authorId="0" shapeId="0" xr:uid="{66A355FC-C29E-4DD7-96E3-7D723C3CC84B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1" authorId="0" shapeId="0" xr:uid="{7453BE76-BE25-47E5-82F3-3386514C72A2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1" authorId="0" shapeId="0" xr:uid="{1B0AC9E4-9F95-412F-9CD0-ABCE84134B90}">
      <text>
        <r>
          <rPr>
            <sz val="9"/>
            <color indexed="81"/>
            <rFont val="Tahoma"/>
            <charset val="1"/>
          </rPr>
          <t>Source: Personnel wages based on 2016 GDP per capita and time requirements estimated by authors</t>
        </r>
      </text>
    </comment>
    <comment ref="D22" authorId="0" shapeId="0" xr:uid="{C9BE00AB-6784-4FBA-8127-947A45DECDD6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23" authorId="0" shapeId="0" xr:uid="{E090A128-FF3B-4B82-B26C-59F2C3BB67B1}">
      <text>
        <r>
          <rPr>
            <sz val="9"/>
            <color indexed="81"/>
            <rFont val="Tahoma"/>
            <charset val="1"/>
          </rPr>
          <t>Source: LiST</t>
        </r>
      </text>
    </comment>
    <comment ref="D23" authorId="0" shapeId="0" xr:uid="{A45797B5-2AE1-4067-8C6B-78B4BFAE61AC}">
      <text>
        <r>
          <rPr>
            <sz val="9"/>
            <color indexed="81"/>
            <rFont val="Tahoma"/>
            <charset val="1"/>
          </rPr>
          <t>Source: Material costs taken from 2014 WHO International Drug Pricing &lt;http://apps.who.int/medicinedocs/documents/s21982en/s21982en.pdf&gt;,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4" authorId="0" shapeId="0" xr:uid="{A6519A53-32A4-4150-88EA-07FADBCFDAEB}">
      <text>
        <r>
          <rPr>
            <sz val="9"/>
            <color indexed="81"/>
            <rFont val="Tahoma"/>
            <charset val="1"/>
          </rPr>
          <t>Source: LiST</t>
        </r>
      </text>
    </comment>
    <comment ref="D24" authorId="0" shapeId="0" xr:uid="{E706EAAA-2C97-4ED8-8325-C4DA49B6B47A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5" authorId="0" shapeId="0" xr:uid="{D502826C-8A1B-47EC-AB59-628FD966954D}">
      <text>
        <r>
          <rPr>
            <sz val="9"/>
            <color indexed="81"/>
            <rFont val="Tahoma"/>
            <charset val="1"/>
          </rPr>
          <t>Source: LiST</t>
        </r>
      </text>
    </comment>
    <comment ref="D25" authorId="0" shapeId="0" xr:uid="{7D3DB9B3-C6C9-4E44-87F2-91769C65739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6" authorId="0" shapeId="0" xr:uid="{1165EF1F-C075-4EBB-91DC-BF6933DAAC7A}">
      <text>
        <r>
          <rPr>
            <sz val="9"/>
            <color indexed="81"/>
            <rFont val="Tahoma"/>
            <charset val="1"/>
          </rPr>
          <t>Source: LiST</t>
        </r>
      </text>
    </comment>
    <comment ref="D26" authorId="0" shapeId="0" xr:uid="{4ACDD609-5421-407A-9701-BB7837AA94D6}">
      <text>
        <r>
          <rPr>
            <sz val="9"/>
            <color indexed="81"/>
            <rFont val="Tahoma"/>
            <charset val="1"/>
          </rPr>
          <t>Source: Drug dosages taken from WHO eLENA, drug costs taken from UNICEF pricing list at &lt;https://www.unicef.org/supply/files/Micro_Nutrient_Powder_-_September_2016(1).pdf&gt;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7" authorId="0" shapeId="0" xr:uid="{BA3C9D5F-06B8-42D1-A213-7EAEACE30601}">
      <text>
        <r>
          <rPr>
            <sz val="9"/>
            <color indexed="81"/>
            <rFont val="Tahoma"/>
            <charset val="1"/>
          </rPr>
          <t>Source: No data available</t>
        </r>
      </text>
    </comment>
    <comment ref="D27" authorId="0" shapeId="0" xr:uid="{7376D8F4-B464-4EEB-9000-DD9BD58E67BD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28" authorId="0" shapeId="0" xr:uid="{DE6870A8-E2E9-4BBD-8A63-00E269199CBF}">
      <text>
        <r>
          <rPr>
            <sz val="9"/>
            <color indexed="81"/>
            <rFont val="Tahoma"/>
            <charset val="1"/>
          </rPr>
          <t>Source: LiST/DHS (Country level)</t>
        </r>
      </text>
    </comment>
    <comment ref="D28" authorId="0" shapeId="0" xr:uid="{44FC493D-4C58-4F3E-814E-5E63468ABC94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29" authorId="0" shapeId="0" xr:uid="{629D069A-0A61-4897-868D-1515EC42DB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29" authorId="0" shapeId="0" xr:uid="{7C63F577-A032-4482-A64D-B08B41680FF6}">
      <text>
        <r>
          <rPr>
            <sz val="9"/>
            <color indexed="81"/>
            <rFont val="Tahoma"/>
            <charset val="1"/>
          </rPr>
          <t>Source: An Investment Framework for Nutrition: Reaching the Global Targets for Stunting, Anemia, Breastfeeding and Wasting Appendix C &lt;http://www.worldbank.org/en/topic/nutrition/publication/an-investment-framework-for-nutrition-reaching-the-global-targets-for-stunting-anemia-breastfeeding-wasting&gt; (Region level) [2015 value, adjusted for inflation]</t>
        </r>
      </text>
    </comment>
    <comment ref="B30" authorId="0" shapeId="0" xr:uid="{97228DEE-CF74-4E70-87FE-D3D7BD6886D8}">
      <text>
        <r>
          <rPr>
            <sz val="9"/>
            <color indexed="81"/>
            <rFont val="Tahoma"/>
            <charset val="1"/>
          </rPr>
          <t>Source: LiST</t>
        </r>
      </text>
    </comment>
    <comment ref="D30" authorId="0" shapeId="0" xr:uid="{A59F4A53-9DA2-4E1A-878F-21D0C72622BC}">
      <text>
        <r>
          <rPr>
            <sz val="9"/>
            <color indexed="81"/>
            <rFont val="Tahoma"/>
            <charset val="1"/>
          </rPr>
          <t xml:space="preserve">Source: </t>
        </r>
      </text>
    </comment>
    <comment ref="B31" authorId="0" shapeId="0" xr:uid="{EC5BF55E-F0DB-4602-BAC0-6049923B595A}">
      <text>
        <r>
          <rPr>
            <sz val="9"/>
            <color indexed="81"/>
            <rFont val="Tahoma"/>
            <charset val="1"/>
          </rPr>
          <t>Source: LiST/DHS (Region level)</t>
        </r>
      </text>
    </comment>
    <comment ref="D31" authorId="0" shapeId="0" xr:uid="{9CB110BE-4ECE-49AB-B555-3F84DD789BF9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2" authorId="0" shapeId="0" xr:uid="{EF71F3E4-A5C0-4202-9338-85D64F3DA51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3" authorId="0" shapeId="0" xr:uid="{C6144427-6FB0-4C59-877E-14709658195B}">
      <text>
        <r>
          <rPr>
            <sz val="9"/>
            <color indexed="81"/>
            <rFont val="Tahoma"/>
            <charset val="1"/>
          </rPr>
          <t>Source: LiST</t>
        </r>
      </text>
    </comment>
    <comment ref="B34" authorId="0" shapeId="0" xr:uid="{24EC44F7-51E8-4CF3-AFBF-CA602C9E77DC}">
      <text>
        <r>
          <rPr>
            <sz val="9"/>
            <color indexed="81"/>
            <rFont val="Tahoma"/>
            <charset val="1"/>
          </rPr>
          <t>Source: LiST</t>
        </r>
      </text>
    </comment>
    <comment ref="B35" authorId="0" shapeId="0" xr:uid="{92ADFBDD-026E-4EF4-A70E-E2EE1DC3B750}">
      <text>
        <r>
          <rPr>
            <sz val="9"/>
            <color indexed="81"/>
            <rFont val="Tahoma"/>
            <charset val="1"/>
          </rPr>
          <t>Source: LiST</t>
        </r>
      </text>
    </comment>
    <comment ref="B36" authorId="0" shapeId="0" xr:uid="{04A80236-A442-425C-855D-6A2AA91779D4}">
      <text>
        <r>
          <rPr>
            <sz val="9"/>
            <color indexed="81"/>
            <rFont val="Tahoma"/>
            <charset val="1"/>
          </rPr>
          <t>Source: LiST</t>
        </r>
      </text>
    </comment>
    <comment ref="B37" authorId="0" shapeId="0" xr:uid="{96CDC47A-F88D-4CBA-9856-E403EF25C060}">
      <text>
        <r>
          <rPr>
            <sz val="9"/>
            <color indexed="81"/>
            <rFont val="Tahoma"/>
            <charset val="1"/>
          </rPr>
          <t>Source: LiST</t>
        </r>
      </text>
    </comment>
    <comment ref="D37" authorId="0" shapeId="0" xr:uid="{794BC687-0C5C-4F5D-A65A-AED6989860A7}">
      <text>
        <r>
          <rPr>
            <sz val="9"/>
            <color indexed="81"/>
            <rFont val="Tahoma"/>
            <charset val="1"/>
          </rPr>
          <t>Source: Material costs taken from OneHealth,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  <comment ref="B38" authorId="0" shapeId="0" xr:uid="{01673BEB-509C-4DAC-B817-5F1C67659B87}">
      <text>
        <r>
          <rPr>
            <sz val="9"/>
            <color indexed="81"/>
            <rFont val="Tahoma"/>
            <charset val="1"/>
          </rPr>
          <t>Source: DHS</t>
        </r>
      </text>
    </comment>
    <comment ref="D38" authorId="0" shapeId="0" xr:uid="{A9731FED-2AFF-4560-BD24-C90BEC8A7CF3}">
      <text>
        <r>
          <rPr>
            <sz val="9"/>
            <color indexed="81"/>
            <rFont val="Tahoma"/>
            <charset val="1"/>
          </rPr>
          <t>Source: Drug dosages taken from WHO eLENA, drug costs taken from 2014 WHO International Drug Pricing &lt;http://apps.who.int/medicinedocs/documents/s21982en/s21982en.pdf&gt; and adjusted for inflation, personnel wages based on 2016 GDP per capita and time requirements based upon Bhutta et al. in 'Evidence-based interventions for improvement of maternal and child nutrition: what can be done and at what cost?' &lt;https://www.thelancet.com/journals/lancet/article/PIIS0140-6736(13)60996-4/fulltext&gt;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<sst xmlns="http://schemas.openxmlformats.org/spreadsheetml/2006/main" count="1102" uniqueCount="271">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</sst>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9" fillId="3" borderId="1" xfId="725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7" zoomScaleNormal="100" workbookViewId="0">
      <selection activeCell="C45" sqref="C45"/>
    </sheetView>
  </sheetViews>
  <sheetFormatPr defaultColWidth="14.453125" defaultRowHeight="15.75" customHeight="1" x14ac:dyDescent="0.25"/>
  <cols>
    <col min="1" max="1" width="27.7265625" style="12" customWidth="1"/>
    <col min="2" max="2" width="38.7265625" style="16" customWidth="1"/>
    <col min="3" max="16384" width="14.453125" style="12"/>
  </cols>
  <sheetData>
    <row r="1" spans="1:3" ht="16" customHeight="1" x14ac:dyDescent="0.3">
      <c r="A1" s="1" t="s">
        <v>100</v>
      </c>
      <c r="B1" s="41" t="s">
        <v>164</v>
      </c>
      <c r="C1" s="41" t="s">
        <v>165</v>
      </c>
    </row>
    <row r="2" spans="1:3" ht="16" customHeight="1" x14ac:dyDescent="0.3">
      <c r="A2" s="12" t="s">
        <v>191</v>
      </c>
      <c r="B2" s="41"/>
      <c r="C2" s="41"/>
    </row>
    <row r="3" spans="1:3" ht="16" customHeight="1" x14ac:dyDescent="0.3">
      <c r="A3" s="1"/>
      <c r="B3" s="7" t="s">
        <v>193</v>
      </c>
      <c r="C3" s="67">
        <v>2017</v>
      </c>
    </row>
    <row r="4" spans="1:3" ht="16" customHeight="1" x14ac:dyDescent="0.3">
      <c r="A4" s="1"/>
      <c r="B4" s="9" t="s">
        <v>192</v>
      </c>
      <c r="C4" s="68">
        <v>2030</v>
      </c>
    </row>
    <row r="5" spans="1:3" ht="16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6021328</v>
      </c>
    </row>
    <row r="8" spans="1:3" ht="15" customHeight="1" x14ac:dyDescent="0.25">
      <c r="B8" s="7" t="s">
        <v>106</v>
      </c>
      <c r="C8" s="70">
        <v>0.10099999999999999</v>
      </c>
    </row>
    <row r="9" spans="1:3" ht="15" customHeight="1" x14ac:dyDescent="0.25">
      <c r="B9" s="9" t="s">
        <v>107</v>
      </c>
      <c r="C9" s="71">
        <v>0.1</v>
      </c>
    </row>
    <row r="10" spans="1:3" ht="15" customHeight="1" x14ac:dyDescent="0.25">
      <c r="B10" s="9" t="s">
        <v>105</v>
      </c>
      <c r="C10" s="71">
        <v>0.30839620590209998</v>
      </c>
    </row>
    <row r="11" spans="1:3" ht="15" customHeight="1" x14ac:dyDescent="0.25">
      <c r="B11" s="7" t="s">
        <v>108</v>
      </c>
      <c r="C11" s="70">
        <v>0.50700000000000001</v>
      </c>
    </row>
    <row r="12" spans="1:3" ht="15" customHeight="1" x14ac:dyDescent="0.25">
      <c r="B12" s="7" t="s">
        <v>109</v>
      </c>
      <c r="C12" s="70">
        <v>0.48299999999999998</v>
      </c>
    </row>
    <row r="13" spans="1:3" ht="15" customHeight="1" x14ac:dyDescent="0.25">
      <c r="B13" s="7" t="s">
        <v>110</v>
      </c>
      <c r="C13" s="70">
        <v>0.69799999999999995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7.4299999999999991E-2</v>
      </c>
    </row>
    <row r="24" spans="1:3" ht="15" customHeight="1" x14ac:dyDescent="0.25">
      <c r="B24" s="20" t="s">
        <v>102</v>
      </c>
      <c r="C24" s="71">
        <v>0.44829999999999998</v>
      </c>
    </row>
    <row r="25" spans="1:3" ht="15" customHeight="1" x14ac:dyDescent="0.25">
      <c r="B25" s="20" t="s">
        <v>103</v>
      </c>
      <c r="C25" s="71">
        <v>0.39020000000000005</v>
      </c>
    </row>
    <row r="26" spans="1:3" ht="15" customHeight="1" x14ac:dyDescent="0.25">
      <c r="B26" s="20" t="s">
        <v>104</v>
      </c>
      <c r="C26" s="71">
        <v>8.72E-2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0.218</v>
      </c>
    </row>
    <row r="30" spans="1:3" ht="14.25" customHeight="1" x14ac:dyDescent="0.25">
      <c r="B30" s="30" t="s">
        <v>76</v>
      </c>
      <c r="C30" s="73">
        <v>7.4999999999999997E-2</v>
      </c>
    </row>
    <row r="31" spans="1:3" ht="14.25" customHeight="1" x14ac:dyDescent="0.25">
      <c r="B31" s="30" t="s">
        <v>77</v>
      </c>
      <c r="C31" s="73">
        <v>0.11900000000000001</v>
      </c>
    </row>
    <row r="32" spans="1:3" ht="14.25" customHeight="1" x14ac:dyDescent="0.25">
      <c r="B32" s="30" t="s">
        <v>78</v>
      </c>
      <c r="C32" s="73">
        <v>0.58800000001490116</v>
      </c>
    </row>
    <row r="33" spans="1:5" ht="13" x14ac:dyDescent="0.25">
      <c r="B33" s="32" t="s">
        <v>129</v>
      </c>
      <c r="C33" s="74">
        <f>SUM(C29:C32)</f>
        <v>1.0000000000149012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29.5</v>
      </c>
    </row>
    <row r="38" spans="1:5" ht="15" customHeight="1" x14ac:dyDescent="0.25">
      <c r="B38" s="16" t="s">
        <v>91</v>
      </c>
      <c r="C38" s="75">
        <v>43.7</v>
      </c>
      <c r="D38" s="17"/>
      <c r="E38" s="18"/>
    </row>
    <row r="39" spans="1:5" ht="15" customHeight="1" x14ac:dyDescent="0.25">
      <c r="B39" s="16" t="s">
        <v>90</v>
      </c>
      <c r="C39" s="75">
        <v>63.2</v>
      </c>
      <c r="D39" s="17"/>
      <c r="E39" s="17"/>
    </row>
    <row r="40" spans="1:5" ht="15" customHeight="1" x14ac:dyDescent="0.25">
      <c r="B40" s="16" t="s">
        <v>171</v>
      </c>
      <c r="C40" s="75">
        <v>1.55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24.4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2.12E-2</v>
      </c>
      <c r="D45" s="17"/>
    </row>
    <row r="46" spans="1:5" ht="15.75" customHeight="1" x14ac:dyDescent="0.25">
      <c r="B46" s="16" t="s">
        <v>11</v>
      </c>
      <c r="C46" s="71">
        <v>0.1106</v>
      </c>
      <c r="D46" s="17"/>
    </row>
    <row r="47" spans="1:5" ht="15.75" customHeight="1" x14ac:dyDescent="0.25">
      <c r="B47" s="16" t="s">
        <v>12</v>
      </c>
      <c r="C47" s="71">
        <v>0.39539999999999997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0.4728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5.1319029732124992</v>
      </c>
      <c r="D51" s="17"/>
    </row>
    <row r="52" spans="1:4" ht="15" customHeight="1" x14ac:dyDescent="0.25">
      <c r="B52" s="16" t="s">
        <v>125</v>
      </c>
      <c r="C52" s="76">
        <v>5.2953470868799997</v>
      </c>
    </row>
    <row r="53" spans="1:4" ht="15.75" customHeight="1" x14ac:dyDescent="0.25">
      <c r="B53" s="16" t="s">
        <v>126</v>
      </c>
      <c r="C53" s="76">
        <v>5.2953470868799997</v>
      </c>
    </row>
    <row r="54" spans="1:4" ht="15.75" customHeight="1" x14ac:dyDescent="0.25">
      <c r="B54" s="16" t="s">
        <v>127</v>
      </c>
      <c r="C54" s="76">
        <v>3.8570812150299996</v>
      </c>
    </row>
    <row r="55" spans="1:4" ht="15.75" customHeight="1" x14ac:dyDescent="0.25">
      <c r="B55" s="16" t="s">
        <v>128</v>
      </c>
      <c r="C55" s="76">
        <v>3.8570812150299996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2.0593869731800763E-2</v>
      </c>
    </row>
    <row r="59" spans="1:4" ht="15.75" customHeight="1" x14ac:dyDescent="0.25">
      <c r="B59" s="16" t="s">
        <v>132</v>
      </c>
      <c r="C59" s="70">
        <v>0.49179159909654174</v>
      </c>
    </row>
    <row r="63" spans="1:4" ht="15.75" customHeight="1" x14ac:dyDescent="0.3">
      <c r="A63" s="4"/>
    </row>
  </sheetData>
  <sheetProtection password="CA9F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39"/>
  <sheetViews>
    <sheetView topLeftCell="A10" workbookViewId="0">
      <selection activeCell="B10" sqref="B10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1796875" style="35" customWidth="1"/>
    <col min="5" max="5" width="32.26953125" style="35" bestFit="1" customWidth="1"/>
    <col min="6" max="16384" width="14.453125" style="35"/>
  </cols>
  <sheetData>
    <row r="1" spans="1:5" ht="26" x14ac:dyDescent="0.3">
      <c r="A1" s="54" t="s">
        <v>69</v>
      </c>
      <c r="B1" s="66" t="str">
        <f>"Baseline ("&amp;start_year&amp;") coverage"</f>
        <v>Baseline (2017)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86">
        <v>47.001122266344161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86">
        <v>39.632944298745876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86">
        <v>241.50381621256201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86">
        <v>0.63572318409505146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86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86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86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86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86">
        <v>1.2324100132277762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86">
        <v>1.2324100132277762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86">
        <v>1.2324100132277762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86">
        <v>1.2324100132277762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86">
        <v>12.765243742541793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86">
        <v>12.765243742541793</v>
      </c>
      <c r="E15" s="86" t="s">
        <v>202</v>
      </c>
    </row>
    <row r="16" spans="1:5" ht="15.75" customHeight="1" x14ac:dyDescent="0.25">
      <c r="A16" s="52" t="s">
        <v>57</v>
      </c>
      <c r="B16" s="85">
        <v>1.9E-2</v>
      </c>
      <c r="C16" s="85">
        <v>0.95</v>
      </c>
      <c r="D16" s="86">
        <v>0.4719828027126588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86">
        <v>0.13690448396621577</v>
      </c>
      <c r="E17" s="86" t="s">
        <v>202</v>
      </c>
    </row>
    <row r="18" spans="1:5" ht="16" customHeight="1" x14ac:dyDescent="0.25">
      <c r="A18" s="52" t="s">
        <v>173</v>
      </c>
      <c r="B18" s="85">
        <v>0.28000000000000003</v>
      </c>
      <c r="C18" s="85">
        <v>0.95</v>
      </c>
      <c r="D18" s="87">
        <v>5.6195673264216497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87">
        <v>5.6195673264216497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87">
        <v>5.6195673264216497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86">
        <v>5.7756331563778938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86">
        <v>21.899261251179787</v>
      </c>
      <c r="E22" s="86" t="s">
        <v>202</v>
      </c>
    </row>
    <row r="23" spans="1:5" ht="15.75" customHeight="1" x14ac:dyDescent="0.25">
      <c r="A23" s="52" t="s">
        <v>34</v>
      </c>
      <c r="B23" s="85">
        <v>0.41399999999999998</v>
      </c>
      <c r="C23" s="85">
        <v>0.95</v>
      </c>
      <c r="D23" s="86">
        <v>4.1250028489423594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86">
        <v>18.34498420736286</v>
      </c>
      <c r="E24" s="86" t="s">
        <v>202</v>
      </c>
    </row>
    <row r="25" spans="1:5" ht="15.75" customHeight="1" x14ac:dyDescent="0.25">
      <c r="A25" s="52" t="s">
        <v>87</v>
      </c>
      <c r="B25" s="85">
        <v>0.251</v>
      </c>
      <c r="C25" s="85">
        <v>0.95</v>
      </c>
      <c r="D25" s="86">
        <v>18.327317630519318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86">
        <v>4.6633778755016992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86">
        <v>5.6338257542253301</v>
      </c>
      <c r="E27" s="86" t="s">
        <v>202</v>
      </c>
    </row>
    <row r="28" spans="1:5" ht="15.75" customHeight="1" x14ac:dyDescent="0.25">
      <c r="A28" s="52" t="s">
        <v>84</v>
      </c>
      <c r="B28" s="85">
        <v>0.19600000000000001</v>
      </c>
      <c r="C28" s="85">
        <v>0.95</v>
      </c>
      <c r="D28" s="86">
        <v>2.9935590841023165</v>
      </c>
      <c r="E28" s="86" t="s">
        <v>202</v>
      </c>
    </row>
    <row r="29" spans="1:5" ht="15.75" customHeight="1" x14ac:dyDescent="0.25">
      <c r="A29" s="52" t="s">
        <v>58</v>
      </c>
      <c r="B29" s="85">
        <v>0.28000000000000003</v>
      </c>
      <c r="C29" s="85">
        <v>0.95</v>
      </c>
      <c r="D29" s="86">
        <v>88.477616348400218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86">
        <v>4.0508635694147443</v>
      </c>
      <c r="E30" s="86" t="s">
        <v>202</v>
      </c>
    </row>
    <row r="31" spans="1:5" ht="15.75" customHeight="1" x14ac:dyDescent="0.25">
      <c r="A31" s="52" t="s">
        <v>28</v>
      </c>
      <c r="B31" s="85">
        <v>0.4415</v>
      </c>
      <c r="C31" s="85">
        <v>0.95</v>
      </c>
      <c r="D31" s="86">
        <v>0.98807896403043338</v>
      </c>
      <c r="E31" s="86" t="s">
        <v>202</v>
      </c>
    </row>
    <row r="32" spans="1:5" ht="15.75" customHeight="1" x14ac:dyDescent="0.25">
      <c r="A32" s="52" t="s">
        <v>83</v>
      </c>
      <c r="B32" s="85">
        <v>0.25900000000000001</v>
      </c>
      <c r="C32" s="85">
        <v>0.95</v>
      </c>
      <c r="D32" s="86">
        <v>1</v>
      </c>
      <c r="E32" s="86" t="s">
        <v>202</v>
      </c>
    </row>
    <row r="33" spans="1:6" ht="15.75" customHeight="1" x14ac:dyDescent="0.25">
      <c r="A33" s="52" t="s">
        <v>82</v>
      </c>
      <c r="B33" s="85">
        <v>0.53</v>
      </c>
      <c r="C33" s="85">
        <v>0.95</v>
      </c>
      <c r="D33" s="86">
        <v>2.8</v>
      </c>
      <c r="E33" s="86" t="s">
        <v>202</v>
      </c>
    </row>
    <row r="34" spans="1:6" ht="15.75" customHeight="1" x14ac:dyDescent="0.25">
      <c r="A34" s="52" t="s">
        <v>81</v>
      </c>
      <c r="B34" s="85">
        <v>0.23600000000000002</v>
      </c>
      <c r="C34" s="85">
        <v>0.95</v>
      </c>
      <c r="D34" s="86">
        <v>50.26</v>
      </c>
      <c r="E34" s="86" t="s">
        <v>202</v>
      </c>
    </row>
    <row r="35" spans="1:6" ht="15.75" customHeight="1" x14ac:dyDescent="0.25">
      <c r="A35" s="52" t="s">
        <v>79</v>
      </c>
      <c r="B35" s="85">
        <v>0.55500000000000005</v>
      </c>
      <c r="C35" s="85">
        <v>0.95</v>
      </c>
      <c r="D35" s="86">
        <v>36.1</v>
      </c>
      <c r="E35" s="86" t="s">
        <v>202</v>
      </c>
    </row>
    <row r="36" spans="1:6" s="36" customFormat="1" ht="15.75" customHeight="1" x14ac:dyDescent="0.25">
      <c r="A36" s="52" t="s">
        <v>80</v>
      </c>
      <c r="B36" s="85">
        <v>0.24299999999999999</v>
      </c>
      <c r="C36" s="85">
        <v>0.95</v>
      </c>
      <c r="D36" s="86">
        <v>231.85</v>
      </c>
      <c r="E36" s="86" t="s">
        <v>202</v>
      </c>
      <c r="F36" s="35"/>
    </row>
    <row r="37" spans="1:6" ht="15.75" customHeight="1" x14ac:dyDescent="0.25">
      <c r="A37" s="52" t="s">
        <v>85</v>
      </c>
      <c r="B37" s="85">
        <v>0.152</v>
      </c>
      <c r="C37" s="85">
        <v>0.95</v>
      </c>
      <c r="D37" s="86">
        <v>7.6479873549004465</v>
      </c>
      <c r="E37" s="86" t="s">
        <v>202</v>
      </c>
    </row>
    <row r="38" spans="1:6" ht="15.75" customHeight="1" x14ac:dyDescent="0.25">
      <c r="A38" s="52" t="s">
        <v>60</v>
      </c>
      <c r="B38" s="85">
        <v>0</v>
      </c>
      <c r="C38" s="85">
        <v>0.95</v>
      </c>
      <c r="D38" s="86">
        <v>1.0092016206091627</v>
      </c>
      <c r="E38" s="86" t="s">
        <v>202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81640625" defaultRowHeight="15.5" x14ac:dyDescent="0.35"/>
  <cols>
    <col min="1" max="1" width="18.7265625" style="55" customWidth="1"/>
    <col min="2" max="16384" width="10.81640625" style="55"/>
  </cols>
  <sheetData>
    <row r="1" spans="1:5" ht="52.5" x14ac:dyDescent="0.35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5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5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5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5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5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5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tabSelected="1" workbookViewId="0">
      <selection activeCell="B6" sqref="B6"/>
    </sheetView>
  </sheetViews>
  <sheetFormatPr defaultColWidth="11.453125" defaultRowHeight="12.5" x14ac:dyDescent="0.25"/>
  <cols>
    <col min="1" max="1" width="53" style="52" bestFit="1" customWidth="1"/>
    <col min="2" max="2" width="47.8164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8" t="s">
        <v>187</v>
      </c>
      <c r="B2" s="84" t="s">
        <v>59</v>
      </c>
      <c r="C2" s="84"/>
    </row>
    <row r="3" spans="1:3" x14ac:dyDescent="0.25">
      <c r="A3" s="88" t="s">
        <v>209</v>
      </c>
      <c r="B3" s="84" t="s">
        <v>59</v>
      </c>
      <c r="C3" s="84"/>
    </row>
    <row r="4" spans="1:3" x14ac:dyDescent="0.25">
      <c r="A4" s="89" t="s">
        <v>137</v>
      </c>
      <c r="B4" s="84" t="s">
        <v>136</v>
      </c>
      <c r="C4" s="84"/>
    </row>
    <row r="5" spans="1:3" x14ac:dyDescent="0.25">
      <c r="A5" s="89"/>
      <c r="B5" s="90"/>
      <c r="C5" s="90"/>
    </row>
    <row r="6" spans="1:3" x14ac:dyDescent="0.25">
      <c r="A6" s="89"/>
      <c r="B6" s="90"/>
      <c r="C6" s="90"/>
    </row>
    <row r="7" spans="1:3" x14ac:dyDescent="0.25">
      <c r="A7" s="89"/>
      <c r="B7" s="90"/>
      <c r="C7" s="90"/>
    </row>
    <row r="8" spans="1:3" x14ac:dyDescent="0.25">
      <c r="A8" s="89"/>
      <c r="B8" s="90"/>
      <c r="C8" s="90"/>
    </row>
    <row r="9" spans="1:3" x14ac:dyDescent="0.25">
      <c r="A9" s="89"/>
      <c r="B9" s="90"/>
      <c r="C9" s="90"/>
    </row>
    <row r="10" spans="1:3" x14ac:dyDescent="0.25">
      <c r="A10" s="89"/>
      <c r="B10" s="90"/>
      <c r="C10" s="90"/>
    </row>
    <row r="11" spans="1:3" x14ac:dyDescent="0.25">
      <c r="A11" s="91"/>
      <c r="B11" s="90"/>
      <c r="C11" s="90"/>
    </row>
    <row r="12" spans="1:3" x14ac:dyDescent="0.25">
      <c r="A12" s="91"/>
      <c r="B12" s="90"/>
      <c r="C12" s="90"/>
    </row>
    <row r="13" spans="1:3" x14ac:dyDescent="0.25">
      <c r="A13" s="91"/>
      <c r="B13" s="90"/>
      <c r="C13" s="90"/>
    </row>
    <row r="14" spans="1:3" x14ac:dyDescent="0.25">
      <c r="A14" s="91"/>
      <c r="B14" s="90"/>
      <c r="C14" s="90"/>
    </row>
    <row r="15" spans="1:3" x14ac:dyDescent="0.25">
      <c r="A15" s="91"/>
      <c r="B15" s="90"/>
      <c r="C15" s="90"/>
    </row>
    <row r="16" spans="1:3" x14ac:dyDescent="0.25">
      <c r="A16" s="91"/>
      <c r="B16" s="90"/>
      <c r="C16" s="90"/>
    </row>
    <row r="17" spans="1:3" x14ac:dyDescent="0.25">
      <c r="A17" s="91"/>
      <c r="B17" s="90"/>
      <c r="C17" s="90"/>
    </row>
    <row r="18" spans="1:3" x14ac:dyDescent="0.25">
      <c r="A18" s="91"/>
      <c r="B18" s="90"/>
      <c r="C18" s="90"/>
    </row>
    <row r="19" spans="1:3" x14ac:dyDescent="0.25">
      <c r="A19" s="89"/>
      <c r="B19" s="90"/>
      <c r="C19" s="90"/>
    </row>
    <row r="20" spans="1:3" x14ac:dyDescent="0.25">
      <c r="A20" s="89"/>
      <c r="B20" s="90"/>
      <c r="C20" s="90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53125" defaultRowHeight="12.5" x14ac:dyDescent="0.25"/>
  <cols>
    <col min="1" max="1" width="30.17968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5.1319029732124992</v>
      </c>
      <c r="C2" s="26">
        <f>'Baseline year population inputs'!C52</f>
        <v>5.2953470868799997</v>
      </c>
      <c r="D2" s="26">
        <f>'Baseline year population inputs'!C53</f>
        <v>5.2953470868799997</v>
      </c>
      <c r="E2" s="26">
        <f>'Baseline year population inputs'!C54</f>
        <v>3.8570812150299996</v>
      </c>
      <c r="F2" s="26">
        <f>'Baseline year population inputs'!C55</f>
        <v>3.8570812150299996</v>
      </c>
    </row>
    <row r="3" spans="1:6" ht="15.75" customHeight="1" x14ac:dyDescent="0.25">
      <c r="A3" s="3" t="s">
        <v>65</v>
      </c>
      <c r="B3" s="26">
        <f>frac_mam_1month * 2.6</f>
        <v>0.20268106560000002</v>
      </c>
      <c r="C3" s="26">
        <f>frac_mam_1_5months * 2.6</f>
        <v>0.20268106560000002</v>
      </c>
      <c r="D3" s="26">
        <f>frac_mam_6_11months * 2.6</f>
        <v>0.324444224</v>
      </c>
      <c r="E3" s="26">
        <f>frac_mam_12_23months * 2.6</f>
        <v>0.38901981820000003</v>
      </c>
      <c r="F3" s="26">
        <f>frac_mam_24_59months * 2.6</f>
        <v>0.27400114473333331</v>
      </c>
    </row>
    <row r="4" spans="1:6" ht="15.75" customHeight="1" x14ac:dyDescent="0.25">
      <c r="A4" s="3" t="s">
        <v>66</v>
      </c>
      <c r="B4" s="26">
        <f>frac_sam_1month * 2.6</f>
        <v>0.1311221964</v>
      </c>
      <c r="C4" s="26">
        <f>frac_sam_1_5months * 2.6</f>
        <v>0.1311221964</v>
      </c>
      <c r="D4" s="26">
        <f>frac_sam_6_11months * 2.6</f>
        <v>0.183091896</v>
      </c>
      <c r="E4" s="26">
        <f>frac_sam_12_23months * 2.6</f>
        <v>0.17877902380000002</v>
      </c>
      <c r="F4" s="26">
        <f>frac_sam_24_59months * 2.6</f>
        <v>9.9836457933333331E-2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53125" defaultRowHeight="12.5" x14ac:dyDescent="0.25"/>
  <cols>
    <col min="1" max="1" width="33.72656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1"/>
  <sheetViews>
    <sheetView zoomScale="50" zoomScaleNormal="50" workbookViewId="0">
      <selection activeCell="J39" sqref="J39"/>
    </sheetView>
  </sheetViews>
  <sheetFormatPr defaultColWidth="16.1796875" defaultRowHeight="15.75" customHeight="1" x14ac:dyDescent="0.35"/>
  <cols>
    <col min="1" max="1" width="22.26953125" style="57" bestFit="1" customWidth="1"/>
    <col min="2" max="2" width="58.81640625" style="57" bestFit="1" customWidth="1"/>
    <col min="3" max="3" width="9.453125" style="57" bestFit="1" customWidth="1"/>
    <col min="4" max="4" width="11.1796875" style="57" bestFit="1" customWidth="1"/>
    <col min="5" max="5" width="12" style="57" bestFit="1" customWidth="1"/>
    <col min="6" max="7" width="13.1796875" style="57" bestFit="1" customWidth="1"/>
    <col min="8" max="11" width="15.26953125" style="57" bestFit="1" customWidth="1"/>
    <col min="12" max="15" width="16.81640625" style="57" bestFit="1" customWidth="1"/>
    <col min="16" max="16384" width="16.1796875" style="57"/>
  </cols>
  <sheetData>
    <row r="1" spans="1:15" ht="15.75" customHeight="1" x14ac:dyDescent="0.35">
      <c r="A1" s="59" t="s">
        <v>33</v>
      </c>
      <c r="B1" s="94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5">
      <c r="A2" s="59" t="s">
        <v>31</v>
      </c>
      <c r="B2" s="52" t="s">
        <v>61</v>
      </c>
      <c r="C2" s="138">
        <v>0</v>
      </c>
      <c r="D2" s="138">
        <v>1</v>
      </c>
      <c r="E2" s="138">
        <v>1</v>
      </c>
      <c r="F2" s="138">
        <v>1</v>
      </c>
      <c r="G2" s="138">
        <v>1</v>
      </c>
      <c r="H2" s="138">
        <v>0</v>
      </c>
      <c r="I2" s="138">
        <v>0</v>
      </c>
      <c r="J2" s="138">
        <v>0</v>
      </c>
      <c r="K2" s="138">
        <v>0</v>
      </c>
      <c r="L2" s="138">
        <v>0</v>
      </c>
      <c r="M2" s="138">
        <v>0</v>
      </c>
      <c r="N2" s="138">
        <v>0</v>
      </c>
      <c r="O2" s="138">
        <v>0</v>
      </c>
    </row>
    <row r="3" spans="1:15" ht="15.75" customHeight="1" x14ac:dyDescent="0.35">
      <c r="B3" s="52" t="s">
        <v>149</v>
      </c>
      <c r="C3" s="138">
        <v>1</v>
      </c>
      <c r="D3" s="138">
        <v>1</v>
      </c>
      <c r="E3" s="138">
        <v>0</v>
      </c>
      <c r="F3" s="138">
        <v>0</v>
      </c>
      <c r="G3" s="138">
        <v>0</v>
      </c>
      <c r="H3" s="138">
        <v>0</v>
      </c>
      <c r="I3" s="138">
        <v>0</v>
      </c>
      <c r="J3" s="138">
        <v>0</v>
      </c>
      <c r="K3" s="138">
        <v>0</v>
      </c>
      <c r="L3" s="138">
        <v>0</v>
      </c>
      <c r="M3" s="138">
        <v>0</v>
      </c>
      <c r="N3" s="138">
        <v>0</v>
      </c>
      <c r="O3" s="138">
        <v>0</v>
      </c>
    </row>
    <row r="4" spans="1:15" ht="15.75" customHeight="1" x14ac:dyDescent="0.35">
      <c r="B4" s="52" t="s">
        <v>173</v>
      </c>
      <c r="C4" s="138">
        <v>1</v>
      </c>
      <c r="D4" s="138">
        <v>1</v>
      </c>
      <c r="E4" s="138">
        <v>1</v>
      </c>
      <c r="F4" s="138">
        <v>1</v>
      </c>
      <c r="G4" s="138">
        <v>1</v>
      </c>
      <c r="H4" s="138">
        <v>0</v>
      </c>
      <c r="I4" s="138">
        <v>0</v>
      </c>
      <c r="J4" s="138">
        <v>0</v>
      </c>
      <c r="K4" s="138">
        <v>0</v>
      </c>
      <c r="L4" s="138">
        <v>0</v>
      </c>
      <c r="M4" s="138">
        <v>0</v>
      </c>
      <c r="N4" s="138">
        <v>0</v>
      </c>
      <c r="O4" s="138">
        <v>0</v>
      </c>
    </row>
    <row r="5" spans="1:15" ht="15.75" customHeight="1" x14ac:dyDescent="0.35">
      <c r="B5" s="52" t="s">
        <v>199</v>
      </c>
      <c r="C5" s="138">
        <v>1</v>
      </c>
      <c r="D5" s="138">
        <v>1</v>
      </c>
      <c r="E5" s="138">
        <v>1</v>
      </c>
      <c r="F5" s="138">
        <v>1</v>
      </c>
      <c r="G5" s="138">
        <v>1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  <c r="O5" s="138">
        <v>0</v>
      </c>
    </row>
    <row r="6" spans="1:15" ht="15.75" customHeight="1" x14ac:dyDescent="0.35">
      <c r="B6" s="52" t="s">
        <v>200</v>
      </c>
      <c r="C6" s="138">
        <v>1</v>
      </c>
      <c r="D6" s="138">
        <v>1</v>
      </c>
      <c r="E6" s="138">
        <v>1</v>
      </c>
      <c r="F6" s="138">
        <v>1</v>
      </c>
      <c r="G6" s="138">
        <v>1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  <c r="O6" s="138">
        <v>0</v>
      </c>
    </row>
    <row r="7" spans="1:15" ht="15.75" customHeight="1" x14ac:dyDescent="0.35">
      <c r="B7" s="52" t="s">
        <v>196</v>
      </c>
      <c r="C7" s="138">
        <v>1</v>
      </c>
      <c r="D7" s="138">
        <v>1</v>
      </c>
      <c r="E7" s="138">
        <v>0</v>
      </c>
      <c r="F7" s="138">
        <v>0</v>
      </c>
      <c r="G7" s="138">
        <v>0</v>
      </c>
      <c r="H7" s="138">
        <v>0</v>
      </c>
      <c r="I7" s="138">
        <v>0</v>
      </c>
      <c r="J7" s="138">
        <v>0</v>
      </c>
      <c r="K7" s="138">
        <v>0</v>
      </c>
      <c r="L7" s="138">
        <v>0</v>
      </c>
      <c r="M7" s="138">
        <v>0</v>
      </c>
      <c r="N7" s="138">
        <v>0</v>
      </c>
      <c r="O7" s="138">
        <v>0</v>
      </c>
    </row>
    <row r="8" spans="1:15" ht="15.75" customHeight="1" x14ac:dyDescent="0.35">
      <c r="B8" s="52" t="s">
        <v>136</v>
      </c>
      <c r="C8" s="138">
        <v>0</v>
      </c>
      <c r="D8" s="138">
        <v>0</v>
      </c>
      <c r="E8" s="138">
        <v>1</v>
      </c>
      <c r="F8" s="138">
        <v>1</v>
      </c>
      <c r="G8" s="138">
        <v>0</v>
      </c>
      <c r="H8" s="138">
        <v>0</v>
      </c>
      <c r="I8" s="138">
        <v>0</v>
      </c>
      <c r="J8" s="138">
        <v>0</v>
      </c>
      <c r="K8" s="138">
        <v>0</v>
      </c>
      <c r="L8" s="138">
        <v>0</v>
      </c>
      <c r="M8" s="138">
        <v>0</v>
      </c>
      <c r="N8" s="138">
        <v>0</v>
      </c>
      <c r="O8" s="138">
        <v>0</v>
      </c>
    </row>
    <row r="9" spans="1:15" ht="15.75" customHeight="1" x14ac:dyDescent="0.35">
      <c r="B9" s="52" t="s">
        <v>137</v>
      </c>
      <c r="C9" s="138">
        <v>0</v>
      </c>
      <c r="D9" s="138">
        <v>0</v>
      </c>
      <c r="E9" s="138">
        <v>1</v>
      </c>
      <c r="F9" s="138">
        <v>1</v>
      </c>
      <c r="G9" s="138">
        <v>1</v>
      </c>
      <c r="H9" s="138">
        <v>0</v>
      </c>
      <c r="I9" s="138">
        <v>0</v>
      </c>
      <c r="J9" s="138">
        <v>0</v>
      </c>
      <c r="K9" s="138">
        <v>0</v>
      </c>
      <c r="L9" s="138">
        <v>0</v>
      </c>
      <c r="M9" s="138">
        <v>0</v>
      </c>
      <c r="N9" s="138">
        <v>0</v>
      </c>
      <c r="O9" s="138">
        <v>0</v>
      </c>
    </row>
    <row r="10" spans="1:15" ht="15.75" customHeight="1" x14ac:dyDescent="0.35">
      <c r="B10" s="52" t="s">
        <v>84</v>
      </c>
      <c r="C10" s="138">
        <v>1</v>
      </c>
      <c r="D10" s="138">
        <v>1</v>
      </c>
      <c r="E10" s="138">
        <v>1</v>
      </c>
      <c r="F10" s="138">
        <v>1</v>
      </c>
      <c r="G10" s="138">
        <v>1</v>
      </c>
      <c r="H10" s="138">
        <v>0</v>
      </c>
      <c r="I10" s="138">
        <v>0</v>
      </c>
      <c r="J10" s="138">
        <v>0</v>
      </c>
      <c r="K10" s="138">
        <v>0</v>
      </c>
      <c r="L10" s="138">
        <v>0</v>
      </c>
      <c r="M10" s="138">
        <v>0</v>
      </c>
      <c r="N10" s="138">
        <v>0</v>
      </c>
      <c r="O10" s="138">
        <v>0</v>
      </c>
    </row>
    <row r="11" spans="1:15" ht="15.75" customHeight="1" x14ac:dyDescent="0.35">
      <c r="B11" s="52" t="s">
        <v>58</v>
      </c>
      <c r="C11" s="138">
        <v>0</v>
      </c>
      <c r="D11" s="138">
        <v>0</v>
      </c>
      <c r="E11" s="138">
        <v>1</v>
      </c>
      <c r="F11" s="138">
        <v>1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  <c r="O11" s="138">
        <v>0</v>
      </c>
    </row>
    <row r="12" spans="1:15" ht="15.75" customHeight="1" x14ac:dyDescent="0.35">
      <c r="B12" s="52" t="s">
        <v>67</v>
      </c>
      <c r="C12" s="138">
        <v>0</v>
      </c>
      <c r="D12" s="138">
        <v>1</v>
      </c>
      <c r="E12" s="138">
        <v>1</v>
      </c>
      <c r="F12" s="138">
        <v>1</v>
      </c>
      <c r="G12" s="138">
        <v>1</v>
      </c>
      <c r="H12" s="138">
        <v>0</v>
      </c>
      <c r="I12" s="138">
        <v>0</v>
      </c>
      <c r="J12" s="138">
        <v>0</v>
      </c>
      <c r="K12" s="138">
        <v>0</v>
      </c>
      <c r="L12" s="138">
        <v>0</v>
      </c>
      <c r="M12" s="138">
        <v>0</v>
      </c>
      <c r="N12" s="138">
        <v>0</v>
      </c>
      <c r="O12" s="138">
        <v>0</v>
      </c>
    </row>
    <row r="13" spans="1:15" ht="15.75" customHeight="1" x14ac:dyDescent="0.35">
      <c r="B13" s="52" t="s">
        <v>28</v>
      </c>
      <c r="C13" s="138">
        <v>0</v>
      </c>
      <c r="D13" s="138">
        <v>0</v>
      </c>
      <c r="E13" s="138">
        <v>1</v>
      </c>
      <c r="F13" s="138">
        <v>1</v>
      </c>
      <c r="G13" s="138">
        <v>1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  <c r="O13" s="138">
        <v>0</v>
      </c>
    </row>
    <row r="14" spans="1:15" ht="15.75" customHeight="1" x14ac:dyDescent="0.35">
      <c r="B14" s="52" t="s">
        <v>85</v>
      </c>
      <c r="C14" s="138">
        <v>1</v>
      </c>
      <c r="D14" s="138">
        <v>1</v>
      </c>
      <c r="E14" s="138">
        <v>1</v>
      </c>
      <c r="F14" s="138">
        <v>1</v>
      </c>
      <c r="G14" s="138">
        <v>1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  <c r="O14" s="138">
        <v>0</v>
      </c>
    </row>
    <row r="15" spans="1:15" ht="15.75" customHeight="1" x14ac:dyDescent="0.35">
      <c r="B15" s="52" t="s">
        <v>60</v>
      </c>
      <c r="C15" s="138">
        <v>0</v>
      </c>
      <c r="D15" s="138">
        <v>0</v>
      </c>
      <c r="E15" s="138">
        <v>1</v>
      </c>
      <c r="F15" s="138">
        <v>1</v>
      </c>
      <c r="G15" s="138">
        <v>1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  <c r="O15" s="138">
        <v>0</v>
      </c>
    </row>
    <row r="16" spans="1:15" ht="15.75" customHeight="1" x14ac:dyDescent="0.35">
      <c r="B16" s="52"/>
      <c r="C16" s="134"/>
      <c r="D16" s="134"/>
      <c r="E16" s="134"/>
      <c r="F16" s="134"/>
      <c r="G16" s="134"/>
      <c r="H16" s="134"/>
      <c r="I16" s="134"/>
      <c r="J16" s="134"/>
      <c r="K16" s="134"/>
      <c r="L16" s="134"/>
      <c r="M16" s="134"/>
      <c r="N16" s="134"/>
      <c r="O16" s="134"/>
    </row>
    <row r="17" spans="1:16" ht="15.75" customHeight="1" x14ac:dyDescent="0.35">
      <c r="A17" s="59" t="s">
        <v>32</v>
      </c>
      <c r="B17" s="52" t="s">
        <v>29</v>
      </c>
      <c r="C17" s="138">
        <v>0</v>
      </c>
      <c r="D17" s="138">
        <v>0</v>
      </c>
      <c r="E17" s="138">
        <v>0</v>
      </c>
      <c r="F17" s="138">
        <v>0</v>
      </c>
      <c r="G17" s="138">
        <v>0</v>
      </c>
      <c r="H17" s="138">
        <v>1</v>
      </c>
      <c r="I17" s="138">
        <v>1</v>
      </c>
      <c r="J17" s="138">
        <v>1</v>
      </c>
      <c r="K17" s="138">
        <v>1</v>
      </c>
      <c r="L17" s="138">
        <v>0</v>
      </c>
      <c r="M17" s="138">
        <v>0</v>
      </c>
      <c r="N17" s="138">
        <v>0</v>
      </c>
      <c r="O17" s="138">
        <v>0</v>
      </c>
    </row>
    <row r="18" spans="1:16" ht="15.75" customHeight="1" x14ac:dyDescent="0.35">
      <c r="A18" s="59"/>
      <c r="B18" s="52" t="s">
        <v>86</v>
      </c>
      <c r="C18" s="138">
        <v>0</v>
      </c>
      <c r="D18" s="138">
        <v>0</v>
      </c>
      <c r="E18" s="138">
        <v>0</v>
      </c>
      <c r="F18" s="138">
        <v>0</v>
      </c>
      <c r="G18" s="138">
        <v>0</v>
      </c>
      <c r="H18" s="138">
        <v>1</v>
      </c>
      <c r="I18" s="138">
        <v>1</v>
      </c>
      <c r="J18" s="138">
        <v>1</v>
      </c>
      <c r="K18" s="138">
        <v>1</v>
      </c>
      <c r="L18" s="138">
        <v>0</v>
      </c>
      <c r="M18" s="138">
        <v>0</v>
      </c>
      <c r="N18" s="138">
        <v>0</v>
      </c>
      <c r="O18" s="138">
        <v>0</v>
      </c>
    </row>
    <row r="19" spans="1:16" ht="15.75" customHeight="1" x14ac:dyDescent="0.35">
      <c r="B19" s="95" t="s">
        <v>187</v>
      </c>
      <c r="C19" s="138">
        <v>0</v>
      </c>
      <c r="D19" s="138">
        <v>0</v>
      </c>
      <c r="E19" s="138">
        <v>0</v>
      </c>
      <c r="F19" s="138">
        <v>0</v>
      </c>
      <c r="G19" s="138">
        <v>0</v>
      </c>
      <c r="H19" s="138">
        <v>1</v>
      </c>
      <c r="I19" s="138">
        <v>1</v>
      </c>
      <c r="J19" s="138">
        <v>1</v>
      </c>
      <c r="K19" s="138">
        <v>1</v>
      </c>
      <c r="L19" s="138">
        <v>0</v>
      </c>
      <c r="M19" s="138">
        <v>0</v>
      </c>
      <c r="N19" s="138">
        <v>0</v>
      </c>
      <c r="O19" s="138">
        <v>0</v>
      </c>
    </row>
    <row r="20" spans="1:16" ht="15.75" customHeight="1" x14ac:dyDescent="0.35">
      <c r="B20" s="95" t="s">
        <v>209</v>
      </c>
      <c r="C20" s="138">
        <v>0</v>
      </c>
      <c r="D20" s="138">
        <v>0</v>
      </c>
      <c r="E20" s="138">
        <v>0</v>
      </c>
      <c r="F20" s="138">
        <v>0</v>
      </c>
      <c r="G20" s="138">
        <v>0</v>
      </c>
      <c r="H20" s="138">
        <v>1</v>
      </c>
      <c r="I20" s="138">
        <v>1</v>
      </c>
      <c r="J20" s="138">
        <v>1</v>
      </c>
      <c r="K20" s="138">
        <v>1</v>
      </c>
      <c r="L20" s="138">
        <v>0</v>
      </c>
      <c r="M20" s="138">
        <v>0</v>
      </c>
      <c r="N20" s="138">
        <v>0</v>
      </c>
      <c r="O20" s="138">
        <v>0</v>
      </c>
    </row>
    <row r="21" spans="1:16" ht="15.75" customHeight="1" x14ac:dyDescent="0.35">
      <c r="B21" s="96" t="s">
        <v>57</v>
      </c>
      <c r="C21" s="138">
        <v>0</v>
      </c>
      <c r="D21" s="138">
        <v>0</v>
      </c>
      <c r="E21" s="138">
        <v>0</v>
      </c>
      <c r="F21" s="138">
        <v>0</v>
      </c>
      <c r="G21" s="138">
        <v>0</v>
      </c>
      <c r="H21" s="138">
        <v>1</v>
      </c>
      <c r="I21" s="138">
        <v>1</v>
      </c>
      <c r="J21" s="138">
        <v>1</v>
      </c>
      <c r="K21" s="138">
        <v>1</v>
      </c>
      <c r="L21" s="138">
        <v>0</v>
      </c>
      <c r="M21" s="138">
        <v>0</v>
      </c>
      <c r="N21" s="138">
        <v>0</v>
      </c>
      <c r="O21" s="138">
        <v>0</v>
      </c>
    </row>
    <row r="22" spans="1:16" ht="15.75" customHeight="1" x14ac:dyDescent="0.35">
      <c r="B22" s="52" t="s">
        <v>88</v>
      </c>
      <c r="C22" s="138">
        <v>0</v>
      </c>
      <c r="D22" s="138">
        <v>0</v>
      </c>
      <c r="E22" s="138">
        <v>0</v>
      </c>
      <c r="F22" s="138">
        <v>0</v>
      </c>
      <c r="G22" s="138">
        <v>0</v>
      </c>
      <c r="H22" s="138">
        <v>1</v>
      </c>
      <c r="I22" s="138">
        <v>1</v>
      </c>
      <c r="J22" s="138">
        <v>1</v>
      </c>
      <c r="K22" s="138">
        <v>1</v>
      </c>
      <c r="L22" s="138">
        <v>0</v>
      </c>
      <c r="M22" s="138">
        <v>0</v>
      </c>
      <c r="N22" s="138">
        <v>0</v>
      </c>
      <c r="O22" s="138">
        <v>0</v>
      </c>
    </row>
    <row r="23" spans="1:16" ht="15.75" customHeight="1" x14ac:dyDescent="0.35">
      <c r="B23" s="52" t="s">
        <v>87</v>
      </c>
      <c r="C23" s="138">
        <v>0</v>
      </c>
      <c r="D23" s="138">
        <v>0</v>
      </c>
      <c r="E23" s="138">
        <v>0</v>
      </c>
      <c r="F23" s="138">
        <v>0</v>
      </c>
      <c r="G23" s="138">
        <v>0</v>
      </c>
      <c r="H23" s="138">
        <v>1</v>
      </c>
      <c r="I23" s="138">
        <v>1</v>
      </c>
      <c r="J23" s="138">
        <v>1</v>
      </c>
      <c r="K23" s="138">
        <v>1</v>
      </c>
      <c r="L23" s="138">
        <v>0</v>
      </c>
      <c r="M23" s="138">
        <v>0</v>
      </c>
      <c r="N23" s="138">
        <v>0</v>
      </c>
      <c r="O23" s="138">
        <v>0</v>
      </c>
    </row>
    <row r="24" spans="1:16" ht="15.75" customHeight="1" x14ac:dyDescent="0.35">
      <c r="B24" s="52" t="s">
        <v>59</v>
      </c>
      <c r="C24" s="138">
        <v>0</v>
      </c>
      <c r="D24" s="138">
        <v>0</v>
      </c>
      <c r="E24" s="138">
        <v>0</v>
      </c>
      <c r="F24" s="138">
        <v>0</v>
      </c>
      <c r="G24" s="138">
        <v>0</v>
      </c>
      <c r="H24" s="138">
        <v>1</v>
      </c>
      <c r="I24" s="138">
        <v>1</v>
      </c>
      <c r="J24" s="138">
        <v>1</v>
      </c>
      <c r="K24" s="138">
        <v>1</v>
      </c>
      <c r="L24" s="138">
        <v>0</v>
      </c>
      <c r="M24" s="138">
        <v>0</v>
      </c>
      <c r="N24" s="138">
        <v>0</v>
      </c>
      <c r="O24" s="138">
        <v>0</v>
      </c>
    </row>
    <row r="25" spans="1:16" ht="15.75" customHeight="1" x14ac:dyDescent="0.35">
      <c r="B25" s="52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</row>
    <row r="26" spans="1:16" ht="16.149999999999999" customHeight="1" x14ac:dyDescent="0.35">
      <c r="A26" s="59" t="s">
        <v>37</v>
      </c>
      <c r="B26" s="52" t="s">
        <v>198</v>
      </c>
      <c r="C26" s="138">
        <v>0</v>
      </c>
      <c r="D26" s="138">
        <v>0</v>
      </c>
      <c r="E26" s="138">
        <v>0</v>
      </c>
      <c r="F26" s="138">
        <v>0</v>
      </c>
      <c r="G26" s="138">
        <v>0</v>
      </c>
      <c r="H26" s="138">
        <v>0</v>
      </c>
      <c r="I26" s="138">
        <v>0</v>
      </c>
      <c r="J26" s="138">
        <v>0</v>
      </c>
      <c r="K26" s="138">
        <v>0</v>
      </c>
      <c r="L26" s="138">
        <v>1</v>
      </c>
      <c r="M26" s="138">
        <v>0</v>
      </c>
      <c r="N26" s="138">
        <v>0</v>
      </c>
      <c r="O26" s="138">
        <v>0</v>
      </c>
      <c r="P26" s="97"/>
    </row>
    <row r="27" spans="1:16" ht="15.75" customHeight="1" x14ac:dyDescent="0.35">
      <c r="B27" s="63" t="s">
        <v>188</v>
      </c>
      <c r="C27" s="138">
        <v>0</v>
      </c>
      <c r="D27" s="138">
        <v>0</v>
      </c>
      <c r="E27" s="138">
        <v>0</v>
      </c>
      <c r="F27" s="138">
        <v>0</v>
      </c>
      <c r="G27" s="138">
        <v>0</v>
      </c>
      <c r="H27" s="138">
        <v>0</v>
      </c>
      <c r="I27" s="138">
        <v>0</v>
      </c>
      <c r="J27" s="138">
        <v>0</v>
      </c>
      <c r="K27" s="138">
        <v>0</v>
      </c>
      <c r="L27" s="138">
        <v>1</v>
      </c>
      <c r="M27" s="138">
        <v>1</v>
      </c>
      <c r="N27" s="138">
        <v>1</v>
      </c>
      <c r="O27" s="138">
        <v>1</v>
      </c>
    </row>
    <row r="28" spans="1:16" ht="15.75" customHeight="1" x14ac:dyDescent="0.35">
      <c r="A28" s="59"/>
      <c r="B28" s="63" t="s">
        <v>208</v>
      </c>
      <c r="C28" s="138">
        <v>0</v>
      </c>
      <c r="D28" s="138">
        <v>0</v>
      </c>
      <c r="E28" s="138">
        <v>0</v>
      </c>
      <c r="F28" s="138">
        <v>0</v>
      </c>
      <c r="G28" s="138">
        <v>0</v>
      </c>
      <c r="H28" s="138">
        <v>0</v>
      </c>
      <c r="I28" s="138">
        <v>0</v>
      </c>
      <c r="J28" s="138">
        <v>0</v>
      </c>
      <c r="K28" s="138">
        <v>0</v>
      </c>
      <c r="L28" s="138">
        <v>1</v>
      </c>
      <c r="M28" s="138">
        <v>1</v>
      </c>
      <c r="N28" s="138">
        <v>1</v>
      </c>
      <c r="O28" s="138">
        <v>1</v>
      </c>
    </row>
    <row r="29" spans="1:16" ht="15.75" customHeight="1" x14ac:dyDescent="0.35">
      <c r="B29" s="63" t="s">
        <v>189</v>
      </c>
      <c r="C29" s="138">
        <v>0</v>
      </c>
      <c r="D29" s="138">
        <v>0</v>
      </c>
      <c r="E29" s="138">
        <v>0</v>
      </c>
      <c r="F29" s="138">
        <v>0</v>
      </c>
      <c r="G29" s="138">
        <v>0</v>
      </c>
      <c r="H29" s="138">
        <v>0</v>
      </c>
      <c r="I29" s="138">
        <v>0</v>
      </c>
      <c r="J29" s="138">
        <v>0</v>
      </c>
      <c r="K29" s="138">
        <v>0</v>
      </c>
      <c r="L29" s="138">
        <v>1</v>
      </c>
      <c r="M29" s="138">
        <v>1</v>
      </c>
      <c r="N29" s="138">
        <v>1</v>
      </c>
      <c r="O29" s="138">
        <v>1</v>
      </c>
    </row>
    <row r="30" spans="1:16" ht="15.75" customHeight="1" x14ac:dyDescent="0.35">
      <c r="B30" s="63" t="s">
        <v>190</v>
      </c>
      <c r="C30" s="138">
        <v>0</v>
      </c>
      <c r="D30" s="138">
        <v>0</v>
      </c>
      <c r="E30" s="138">
        <v>0</v>
      </c>
      <c r="F30" s="138">
        <v>0</v>
      </c>
      <c r="G30" s="138">
        <v>0</v>
      </c>
      <c r="H30" s="138">
        <v>0</v>
      </c>
      <c r="I30" s="138">
        <v>0</v>
      </c>
      <c r="J30" s="138">
        <v>0</v>
      </c>
      <c r="K30" s="138">
        <v>0</v>
      </c>
      <c r="L30" s="138">
        <v>1</v>
      </c>
      <c r="M30" s="138">
        <v>0</v>
      </c>
      <c r="N30" s="138">
        <v>0</v>
      </c>
      <c r="O30" s="138">
        <v>0</v>
      </c>
    </row>
    <row r="31" spans="1:16" ht="15.75" customHeight="1" x14ac:dyDescent="0.35">
      <c r="B31" s="52"/>
      <c r="C31" s="135"/>
      <c r="D31" s="135"/>
      <c r="E31" s="136"/>
      <c r="F31" s="136"/>
      <c r="G31" s="136"/>
      <c r="H31" s="136"/>
      <c r="I31" s="136"/>
      <c r="J31" s="134"/>
      <c r="K31" s="134"/>
      <c r="L31" s="134"/>
      <c r="M31" s="134"/>
      <c r="N31" s="134"/>
      <c r="O31" s="134"/>
    </row>
    <row r="32" spans="1:16" ht="15.75" customHeight="1" x14ac:dyDescent="0.35">
      <c r="A32" s="59" t="s">
        <v>35</v>
      </c>
      <c r="B32" s="52" t="s">
        <v>63</v>
      </c>
      <c r="C32" s="138">
        <v>1</v>
      </c>
      <c r="D32" s="138">
        <v>0</v>
      </c>
      <c r="E32" s="138">
        <v>1</v>
      </c>
      <c r="F32" s="138">
        <v>1</v>
      </c>
      <c r="G32" s="138">
        <v>1</v>
      </c>
      <c r="H32" s="138">
        <v>1</v>
      </c>
      <c r="I32" s="138">
        <v>1</v>
      </c>
      <c r="J32" s="138">
        <v>1</v>
      </c>
      <c r="K32" s="138">
        <v>1</v>
      </c>
      <c r="L32" s="138">
        <v>1</v>
      </c>
      <c r="M32" s="138">
        <v>1</v>
      </c>
      <c r="N32" s="138">
        <v>1</v>
      </c>
      <c r="O32" s="138">
        <v>1</v>
      </c>
    </row>
    <row r="33" spans="1:15" ht="15.75" customHeight="1" x14ac:dyDescent="0.35">
      <c r="B33" s="52" t="s">
        <v>64</v>
      </c>
      <c r="C33" s="138">
        <v>1</v>
      </c>
      <c r="D33" s="138">
        <v>0</v>
      </c>
      <c r="E33" s="138">
        <v>1</v>
      </c>
      <c r="F33" s="138">
        <v>1</v>
      </c>
      <c r="G33" s="138">
        <v>1</v>
      </c>
      <c r="H33" s="138">
        <v>1</v>
      </c>
      <c r="I33" s="138">
        <v>1</v>
      </c>
      <c r="J33" s="138">
        <v>1</v>
      </c>
      <c r="K33" s="138">
        <v>1</v>
      </c>
      <c r="L33" s="138">
        <v>1</v>
      </c>
      <c r="M33" s="138">
        <v>1</v>
      </c>
      <c r="N33" s="138">
        <v>1</v>
      </c>
      <c r="O33" s="138">
        <v>1</v>
      </c>
    </row>
    <row r="34" spans="1:15" ht="15.75" customHeight="1" x14ac:dyDescent="0.35">
      <c r="B34" s="52" t="s">
        <v>62</v>
      </c>
      <c r="C34" s="138">
        <v>1</v>
      </c>
      <c r="D34" s="138">
        <v>0</v>
      </c>
      <c r="E34" s="138">
        <v>1</v>
      </c>
      <c r="F34" s="138">
        <v>1</v>
      </c>
      <c r="G34" s="138">
        <v>1</v>
      </c>
      <c r="H34" s="138">
        <v>1</v>
      </c>
      <c r="I34" s="138">
        <v>1</v>
      </c>
      <c r="J34" s="138">
        <v>1</v>
      </c>
      <c r="K34" s="138">
        <v>1</v>
      </c>
      <c r="L34" s="138">
        <v>1</v>
      </c>
      <c r="M34" s="138">
        <v>1</v>
      </c>
      <c r="N34" s="138">
        <v>1</v>
      </c>
      <c r="O34" s="138">
        <v>1</v>
      </c>
    </row>
    <row r="35" spans="1:15" ht="15.75" customHeight="1" x14ac:dyDescent="0.35">
      <c r="B35" s="52" t="s">
        <v>47</v>
      </c>
      <c r="C35" s="138">
        <v>1</v>
      </c>
      <c r="D35" s="138">
        <v>0</v>
      </c>
      <c r="E35" s="138">
        <v>1</v>
      </c>
      <c r="F35" s="138">
        <v>1</v>
      </c>
      <c r="G35" s="138">
        <v>1</v>
      </c>
      <c r="H35" s="138">
        <v>1</v>
      </c>
      <c r="I35" s="138">
        <v>1</v>
      </c>
      <c r="J35" s="138">
        <v>1</v>
      </c>
      <c r="K35" s="138">
        <v>1</v>
      </c>
      <c r="L35" s="138">
        <v>1</v>
      </c>
      <c r="M35" s="138">
        <v>1</v>
      </c>
      <c r="N35" s="138">
        <v>1</v>
      </c>
      <c r="O35" s="138">
        <v>1</v>
      </c>
    </row>
    <row r="36" spans="1:15" ht="15.75" customHeight="1" x14ac:dyDescent="0.35">
      <c r="B36" s="52" t="s">
        <v>34</v>
      </c>
      <c r="C36" s="138">
        <v>1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  <c r="I36" s="138">
        <v>1</v>
      </c>
      <c r="J36" s="138">
        <v>1</v>
      </c>
      <c r="K36" s="138">
        <v>1</v>
      </c>
      <c r="L36" s="138">
        <v>1</v>
      </c>
      <c r="M36" s="138">
        <v>1</v>
      </c>
      <c r="N36" s="138">
        <v>1</v>
      </c>
      <c r="O36" s="138">
        <v>1</v>
      </c>
    </row>
    <row r="37" spans="1:15" ht="15.75" customHeight="1" x14ac:dyDescent="0.35">
      <c r="A37" s="98"/>
      <c r="B37" s="52" t="s">
        <v>83</v>
      </c>
      <c r="C37" s="138">
        <v>1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  <c r="I37" s="138">
        <v>1</v>
      </c>
      <c r="J37" s="138">
        <v>1</v>
      </c>
      <c r="K37" s="138">
        <v>1</v>
      </c>
      <c r="L37" s="138">
        <v>1</v>
      </c>
      <c r="M37" s="138">
        <v>1</v>
      </c>
      <c r="N37" s="138">
        <v>1</v>
      </c>
      <c r="O37" s="138">
        <v>1</v>
      </c>
    </row>
    <row r="38" spans="1:15" s="98" customFormat="1" ht="15.75" customHeight="1" x14ac:dyDescent="0.35">
      <c r="B38" s="52" t="s">
        <v>82</v>
      </c>
      <c r="C38" s="138">
        <v>1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  <c r="I38" s="138">
        <v>1</v>
      </c>
      <c r="J38" s="138">
        <v>1</v>
      </c>
      <c r="K38" s="138">
        <v>1</v>
      </c>
      <c r="L38" s="138">
        <v>1</v>
      </c>
      <c r="M38" s="138">
        <v>1</v>
      </c>
      <c r="N38" s="138">
        <v>1</v>
      </c>
      <c r="O38" s="138">
        <v>1</v>
      </c>
    </row>
    <row r="39" spans="1:15" s="98" customFormat="1" ht="15.75" customHeight="1" x14ac:dyDescent="0.35">
      <c r="B39" s="52" t="s">
        <v>81</v>
      </c>
      <c r="C39" s="138">
        <v>1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  <c r="I39" s="138">
        <v>1</v>
      </c>
      <c r="J39" s="138">
        <v>1</v>
      </c>
      <c r="K39" s="138">
        <v>1</v>
      </c>
      <c r="L39" s="138">
        <v>1</v>
      </c>
      <c r="M39" s="138">
        <v>1</v>
      </c>
      <c r="N39" s="138">
        <v>1</v>
      </c>
      <c r="O39" s="138">
        <v>1</v>
      </c>
    </row>
    <row r="40" spans="1:15" s="98" customFormat="1" ht="15.75" customHeight="1" x14ac:dyDescent="0.35">
      <c r="B40" s="52" t="s">
        <v>79</v>
      </c>
      <c r="C40" s="138">
        <v>1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  <c r="I40" s="138">
        <v>1</v>
      </c>
      <c r="J40" s="138">
        <v>1</v>
      </c>
      <c r="K40" s="138">
        <v>1</v>
      </c>
      <c r="L40" s="138">
        <v>1</v>
      </c>
      <c r="M40" s="138">
        <v>1</v>
      </c>
      <c r="N40" s="138">
        <v>1</v>
      </c>
      <c r="O40" s="138">
        <v>1</v>
      </c>
    </row>
    <row r="41" spans="1:15" ht="15" customHeight="1" x14ac:dyDescent="0.35">
      <c r="B41" s="52" t="s">
        <v>80</v>
      </c>
      <c r="C41" s="138">
        <v>1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  <c r="I41" s="138">
        <v>1</v>
      </c>
      <c r="J41" s="138">
        <v>1</v>
      </c>
      <c r="K41" s="138">
        <v>1</v>
      </c>
      <c r="L41" s="138">
        <v>1</v>
      </c>
      <c r="M41" s="138">
        <v>1</v>
      </c>
      <c r="N41" s="138">
        <v>1</v>
      </c>
      <c r="O41" s="138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265625" defaultRowHeight="12.5" x14ac:dyDescent="0.25"/>
  <cols>
    <col min="1" max="1" width="58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8"/>
      <c r="C2" s="138"/>
      <c r="D2" s="138"/>
      <c r="E2" s="138"/>
      <c r="F2" s="138"/>
      <c r="G2" s="138"/>
      <c r="H2" s="138"/>
      <c r="I2" s="138" t="s">
        <v>194</v>
      </c>
      <c r="J2" s="138"/>
      <c r="K2" s="138"/>
    </row>
    <row r="3" spans="1:11" x14ac:dyDescent="0.25">
      <c r="A3" s="52" t="s">
        <v>86</v>
      </c>
      <c r="B3" s="138"/>
      <c r="C3" s="138"/>
      <c r="D3" s="138"/>
      <c r="E3" s="138"/>
      <c r="F3" s="138"/>
      <c r="G3" s="138"/>
      <c r="H3" s="138" t="s">
        <v>194</v>
      </c>
      <c r="I3" s="138"/>
      <c r="J3" s="138"/>
      <c r="K3" s="138"/>
    </row>
    <row r="4" spans="1:11" x14ac:dyDescent="0.25">
      <c r="A4" s="52" t="s">
        <v>61</v>
      </c>
      <c r="B4" s="138"/>
      <c r="C4" s="138"/>
      <c r="D4" s="138" t="s">
        <v>194</v>
      </c>
      <c r="E4" s="138"/>
      <c r="F4" s="138"/>
      <c r="G4" s="138"/>
      <c r="H4" s="138"/>
      <c r="I4" s="138"/>
      <c r="J4" s="138"/>
      <c r="K4" s="138"/>
    </row>
    <row r="5" spans="1:11" x14ac:dyDescent="0.25">
      <c r="A5" s="52" t="s">
        <v>149</v>
      </c>
      <c r="B5" s="138"/>
      <c r="C5" s="138" t="s">
        <v>194</v>
      </c>
      <c r="D5" s="138"/>
      <c r="E5" s="138"/>
      <c r="F5" s="138"/>
      <c r="G5" s="138"/>
      <c r="H5" s="138"/>
      <c r="I5" s="138"/>
      <c r="J5" s="138"/>
      <c r="K5" s="138"/>
    </row>
    <row r="6" spans="1:11" x14ac:dyDescent="0.25">
      <c r="A6" s="52" t="s">
        <v>198</v>
      </c>
      <c r="B6" s="138"/>
      <c r="C6" s="138"/>
      <c r="D6" s="138"/>
      <c r="E6" s="138"/>
      <c r="F6" s="138"/>
      <c r="G6" s="138"/>
      <c r="H6" s="138"/>
      <c r="I6" s="138"/>
      <c r="J6" s="138" t="s">
        <v>194</v>
      </c>
      <c r="K6" s="138" t="s">
        <v>194</v>
      </c>
    </row>
    <row r="7" spans="1:11" x14ac:dyDescent="0.25">
      <c r="A7" s="52" t="s">
        <v>63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/>
      <c r="J7" s="138"/>
      <c r="K7" s="138"/>
    </row>
    <row r="8" spans="1:11" x14ac:dyDescent="0.25">
      <c r="A8" s="52" t="s">
        <v>64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/>
      <c r="J8" s="138"/>
      <c r="K8" s="138"/>
    </row>
    <row r="9" spans="1:11" x14ac:dyDescent="0.25">
      <c r="A9" s="52" t="s">
        <v>62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/>
      <c r="J9" s="138"/>
      <c r="K9" s="138"/>
    </row>
    <row r="10" spans="1:11" x14ac:dyDescent="0.25">
      <c r="A10" s="63" t="s">
        <v>188</v>
      </c>
      <c r="B10" s="138"/>
      <c r="C10" s="138" t="s">
        <v>194</v>
      </c>
      <c r="D10" s="138"/>
      <c r="E10" s="138"/>
      <c r="F10" s="138"/>
      <c r="G10" s="138"/>
      <c r="H10" s="138"/>
      <c r="I10" s="138"/>
      <c r="J10" s="138"/>
      <c r="K10" s="138"/>
    </row>
    <row r="11" spans="1:11" x14ac:dyDescent="0.25">
      <c r="A11" s="63" t="s">
        <v>208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/>
      <c r="K11" s="138"/>
    </row>
    <row r="12" spans="1:11" x14ac:dyDescent="0.25">
      <c r="A12" s="63" t="s">
        <v>189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/>
    </row>
    <row r="13" spans="1:11" x14ac:dyDescent="0.25">
      <c r="A13" s="63" t="s">
        <v>190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/>
    </row>
    <row r="14" spans="1:11" x14ac:dyDescent="0.25">
      <c r="A14" s="95" t="s">
        <v>187</v>
      </c>
      <c r="B14" s="138"/>
      <c r="C14" s="138" t="s">
        <v>194</v>
      </c>
      <c r="D14" s="138"/>
      <c r="E14" s="138"/>
      <c r="F14" s="138"/>
      <c r="G14" s="138"/>
      <c r="H14" s="138"/>
      <c r="I14" s="138" t="s">
        <v>194</v>
      </c>
      <c r="J14" s="138"/>
      <c r="K14" s="138"/>
    </row>
    <row r="15" spans="1:11" x14ac:dyDescent="0.25">
      <c r="A15" s="95" t="s">
        <v>209</v>
      </c>
      <c r="B15" s="138"/>
      <c r="C15" s="138" t="s">
        <v>194</v>
      </c>
      <c r="D15" s="138"/>
      <c r="E15" s="138"/>
      <c r="F15" s="138"/>
      <c r="G15" s="138"/>
      <c r="H15" s="138"/>
      <c r="I15" s="138" t="s">
        <v>194</v>
      </c>
      <c r="J15" s="138"/>
      <c r="K15" s="138"/>
    </row>
    <row r="16" spans="1:11" x14ac:dyDescent="0.25">
      <c r="A16" s="52" t="s">
        <v>57</v>
      </c>
      <c r="B16" s="138"/>
      <c r="C16" s="138" t="s">
        <v>194</v>
      </c>
      <c r="D16" s="138"/>
      <c r="E16" s="138"/>
      <c r="F16" s="138"/>
      <c r="G16" s="138"/>
      <c r="H16" s="138" t="s">
        <v>194</v>
      </c>
      <c r="I16" s="138" t="s">
        <v>194</v>
      </c>
      <c r="J16" s="138"/>
      <c r="K16" s="138"/>
    </row>
    <row r="17" spans="1:11" x14ac:dyDescent="0.25">
      <c r="A17" s="52" t="s">
        <v>47</v>
      </c>
      <c r="B17" s="138"/>
      <c r="C17" s="138" t="s">
        <v>194</v>
      </c>
      <c r="D17" s="138"/>
      <c r="E17" s="138"/>
      <c r="F17" s="138"/>
      <c r="G17" s="138"/>
      <c r="H17" s="138"/>
      <c r="I17" s="138"/>
      <c r="J17" s="138"/>
      <c r="K17" s="138"/>
    </row>
    <row r="18" spans="1:11" x14ac:dyDescent="0.25">
      <c r="A18" s="52" t="s">
        <v>173</v>
      </c>
      <c r="B18" s="138" t="s">
        <v>194</v>
      </c>
      <c r="C18" s="138"/>
      <c r="D18" s="138"/>
      <c r="E18" s="138"/>
      <c r="F18" s="138" t="s">
        <v>194</v>
      </c>
      <c r="G18" s="138"/>
      <c r="H18" s="138"/>
      <c r="I18" s="138"/>
      <c r="J18" s="138"/>
      <c r="K18" s="138"/>
    </row>
    <row r="19" spans="1:11" x14ac:dyDescent="0.25">
      <c r="A19" s="52" t="s">
        <v>199</v>
      </c>
      <c r="B19" s="138" t="s">
        <v>194</v>
      </c>
      <c r="C19" s="138"/>
      <c r="D19" s="138"/>
      <c r="E19" s="138"/>
      <c r="F19" s="138" t="s">
        <v>194</v>
      </c>
      <c r="G19" s="138"/>
      <c r="H19" s="138"/>
      <c r="I19" s="138"/>
      <c r="J19" s="138"/>
      <c r="K19" s="138"/>
    </row>
    <row r="20" spans="1:11" x14ac:dyDescent="0.25">
      <c r="A20" s="52" t="s">
        <v>200</v>
      </c>
      <c r="B20" s="138" t="s">
        <v>194</v>
      </c>
      <c r="C20" s="138"/>
      <c r="D20" s="138"/>
      <c r="E20" s="138"/>
      <c r="F20" s="138" t="s">
        <v>194</v>
      </c>
      <c r="G20" s="138"/>
      <c r="H20" s="138"/>
      <c r="I20" s="138"/>
      <c r="J20" s="138"/>
      <c r="K20" s="138"/>
    </row>
    <row r="21" spans="1:11" x14ac:dyDescent="0.25">
      <c r="A21" s="52" t="s">
        <v>196</v>
      </c>
      <c r="B21" s="138"/>
      <c r="C21" s="138"/>
      <c r="D21" s="138"/>
      <c r="E21" s="138"/>
      <c r="F21" s="138"/>
      <c r="G21" s="138"/>
      <c r="H21" s="138" t="s">
        <v>194</v>
      </c>
      <c r="I21" s="138" t="s">
        <v>194</v>
      </c>
      <c r="J21" s="138"/>
      <c r="K21" s="138"/>
    </row>
    <row r="22" spans="1:11" x14ac:dyDescent="0.25">
      <c r="A22" s="52" t="s">
        <v>136</v>
      </c>
      <c r="B22" s="138" t="s">
        <v>194</v>
      </c>
      <c r="C22" s="138" t="s">
        <v>194</v>
      </c>
      <c r="D22" s="138" t="s">
        <v>194</v>
      </c>
      <c r="E22" s="138"/>
      <c r="F22" s="138"/>
      <c r="G22" s="138"/>
      <c r="H22" s="138"/>
      <c r="I22" s="138"/>
      <c r="J22" s="138"/>
      <c r="K22" s="138"/>
    </row>
    <row r="23" spans="1:11" x14ac:dyDescent="0.25">
      <c r="A23" s="52" t="s">
        <v>34</v>
      </c>
      <c r="B23" s="138"/>
      <c r="C23" s="138" t="s">
        <v>194</v>
      </c>
      <c r="D23" s="138"/>
      <c r="E23" s="138"/>
      <c r="F23" s="138"/>
      <c r="G23" s="138"/>
      <c r="H23" s="138"/>
      <c r="I23" s="138" t="s">
        <v>194</v>
      </c>
      <c r="J23" s="138"/>
      <c r="K23" s="138"/>
    </row>
    <row r="24" spans="1:11" x14ac:dyDescent="0.25">
      <c r="A24" s="52" t="s">
        <v>88</v>
      </c>
      <c r="B24" s="138"/>
      <c r="C24" s="138"/>
      <c r="D24" s="138"/>
      <c r="E24" s="138"/>
      <c r="F24" s="138"/>
      <c r="G24" s="138"/>
      <c r="H24" s="138" t="s">
        <v>194</v>
      </c>
      <c r="I24" s="138"/>
      <c r="J24" s="138"/>
      <c r="K24" s="138"/>
    </row>
    <row r="25" spans="1:11" x14ac:dyDescent="0.25">
      <c r="A25" s="52" t="s">
        <v>87</v>
      </c>
      <c r="B25" s="138"/>
      <c r="C25" s="138"/>
      <c r="D25" s="138"/>
      <c r="E25" s="138"/>
      <c r="F25" s="138"/>
      <c r="G25" s="138"/>
      <c r="H25" s="138" t="s">
        <v>194</v>
      </c>
      <c r="I25" s="138"/>
      <c r="J25" s="138"/>
      <c r="K25" s="138"/>
    </row>
    <row r="26" spans="1:11" x14ac:dyDescent="0.25">
      <c r="A26" s="52" t="s">
        <v>137</v>
      </c>
      <c r="B26" s="138"/>
      <c r="C26" s="138" t="s">
        <v>194</v>
      </c>
      <c r="D26" s="138"/>
      <c r="E26" s="138"/>
      <c r="F26" s="138"/>
      <c r="G26" s="138"/>
      <c r="H26" s="138"/>
      <c r="I26" s="138"/>
      <c r="J26" s="138"/>
      <c r="K26" s="138"/>
    </row>
    <row r="27" spans="1:11" x14ac:dyDescent="0.25">
      <c r="A27" s="52" t="s">
        <v>59</v>
      </c>
      <c r="B27" s="138"/>
      <c r="C27" s="138" t="s">
        <v>194</v>
      </c>
      <c r="D27" s="138"/>
      <c r="E27" s="138"/>
      <c r="F27" s="138"/>
      <c r="G27" s="138"/>
      <c r="H27" s="138"/>
      <c r="I27" s="138" t="s">
        <v>194</v>
      </c>
      <c r="J27" s="138"/>
      <c r="K27" s="138"/>
    </row>
    <row r="28" spans="1:11" x14ac:dyDescent="0.25">
      <c r="A28" s="52" t="s">
        <v>84</v>
      </c>
      <c r="B28" s="138"/>
      <c r="C28" s="138"/>
      <c r="D28" s="138"/>
      <c r="E28" s="138"/>
      <c r="F28" s="138"/>
      <c r="G28" s="138"/>
      <c r="H28" s="138" t="s">
        <v>194</v>
      </c>
      <c r="I28" s="138"/>
      <c r="J28" s="138"/>
      <c r="K28" s="138"/>
    </row>
    <row r="29" spans="1:11" x14ac:dyDescent="0.25">
      <c r="A29" s="52" t="s">
        <v>58</v>
      </c>
      <c r="B29" s="138" t="s">
        <v>194</v>
      </c>
      <c r="C29" s="138"/>
      <c r="D29" s="138" t="s">
        <v>194</v>
      </c>
      <c r="E29" s="138"/>
      <c r="F29" s="138"/>
      <c r="G29" s="138"/>
      <c r="H29" s="138"/>
      <c r="I29" s="138"/>
      <c r="J29" s="138"/>
      <c r="K29" s="138"/>
    </row>
    <row r="30" spans="1:11" x14ac:dyDescent="0.25">
      <c r="A30" s="52" t="s">
        <v>67</v>
      </c>
      <c r="B30" s="138"/>
      <c r="C30" s="138"/>
      <c r="D30" s="138"/>
      <c r="E30" s="138" t="s">
        <v>194</v>
      </c>
      <c r="F30" s="138"/>
      <c r="G30" s="138"/>
      <c r="H30" s="138"/>
      <c r="I30" s="138"/>
      <c r="J30" s="138"/>
      <c r="K30" s="138"/>
    </row>
    <row r="31" spans="1:11" x14ac:dyDescent="0.25">
      <c r="A31" s="52" t="s">
        <v>28</v>
      </c>
      <c r="B31" s="138"/>
      <c r="C31" s="138"/>
      <c r="D31" s="138"/>
      <c r="E31" s="138"/>
      <c r="F31" s="138"/>
      <c r="G31" s="138" t="s">
        <v>194</v>
      </c>
      <c r="H31" s="138" t="s">
        <v>194</v>
      </c>
      <c r="I31" s="138"/>
      <c r="J31" s="138"/>
      <c r="K31" s="138"/>
    </row>
    <row r="32" spans="1:11" x14ac:dyDescent="0.25">
      <c r="A32" s="52" t="s">
        <v>83</v>
      </c>
      <c r="B32" s="138"/>
      <c r="C32" s="138"/>
      <c r="D32" s="138"/>
      <c r="E32" s="138"/>
      <c r="F32" s="138"/>
      <c r="G32" s="138" t="s">
        <v>194</v>
      </c>
      <c r="H32" s="138" t="s">
        <v>194</v>
      </c>
      <c r="I32" s="138"/>
      <c r="J32" s="138"/>
      <c r="K32" s="138"/>
    </row>
    <row r="33" spans="1:11" x14ac:dyDescent="0.25">
      <c r="A33" s="52" t="s">
        <v>82</v>
      </c>
      <c r="B33" s="138"/>
      <c r="C33" s="138"/>
      <c r="D33" s="138"/>
      <c r="E33" s="138"/>
      <c r="F33" s="138"/>
      <c r="G33" s="138" t="s">
        <v>194</v>
      </c>
      <c r="H33" s="138" t="s">
        <v>194</v>
      </c>
      <c r="I33" s="138"/>
      <c r="J33" s="138"/>
      <c r="K33" s="138"/>
    </row>
    <row r="34" spans="1:11" x14ac:dyDescent="0.25">
      <c r="A34" s="52" t="s">
        <v>81</v>
      </c>
      <c r="B34" s="138"/>
      <c r="C34" s="138"/>
      <c r="D34" s="138"/>
      <c r="E34" s="138"/>
      <c r="F34" s="138"/>
      <c r="G34" s="138" t="s">
        <v>194</v>
      </c>
      <c r="H34" s="138" t="s">
        <v>194</v>
      </c>
      <c r="I34" s="138"/>
      <c r="J34" s="138"/>
      <c r="K34" s="138"/>
    </row>
    <row r="35" spans="1:11" x14ac:dyDescent="0.25">
      <c r="A35" s="52" t="s">
        <v>79</v>
      </c>
      <c r="B35" s="138"/>
      <c r="C35" s="138"/>
      <c r="D35" s="138"/>
      <c r="E35" s="138"/>
      <c r="F35" s="138"/>
      <c r="G35" s="138" t="s">
        <v>194</v>
      </c>
      <c r="H35" s="138" t="s">
        <v>194</v>
      </c>
      <c r="I35" s="138"/>
      <c r="J35" s="138"/>
      <c r="K35" s="138"/>
    </row>
    <row r="36" spans="1:11" x14ac:dyDescent="0.25">
      <c r="A36" s="52" t="s">
        <v>80</v>
      </c>
      <c r="B36" s="138"/>
      <c r="C36" s="138"/>
      <c r="D36" s="138"/>
      <c r="E36" s="138"/>
      <c r="F36" s="138"/>
      <c r="G36" s="138" t="s">
        <v>194</v>
      </c>
      <c r="H36" s="138" t="s">
        <v>194</v>
      </c>
      <c r="I36" s="138"/>
      <c r="J36" s="138"/>
      <c r="K36" s="138"/>
    </row>
    <row r="37" spans="1:11" x14ac:dyDescent="0.25">
      <c r="A37" s="52" t="s">
        <v>85</v>
      </c>
      <c r="B37" s="138"/>
      <c r="C37" s="138"/>
      <c r="D37" s="138"/>
      <c r="E37" s="138"/>
      <c r="F37" s="138"/>
      <c r="G37" s="138"/>
      <c r="H37" s="138" t="s">
        <v>194</v>
      </c>
      <c r="I37" s="138"/>
      <c r="J37" s="138"/>
      <c r="K37" s="138"/>
    </row>
    <row r="38" spans="1:11" x14ac:dyDescent="0.25">
      <c r="A38" s="52" t="s">
        <v>60</v>
      </c>
      <c r="B38" s="138" t="s">
        <v>194</v>
      </c>
      <c r="C38" s="138"/>
      <c r="D38" s="138"/>
      <c r="E38" s="138"/>
      <c r="F38" s="138"/>
      <c r="G38" s="138" t="s">
        <v>194</v>
      </c>
      <c r="H38" s="138" t="s">
        <v>194</v>
      </c>
      <c r="I38" s="138"/>
      <c r="J38" s="138"/>
      <c r="K38" s="138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35" bestFit="1" customWidth="1"/>
    <col min="2" max="2" width="8.7265625" style="35" bestFit="1" customWidth="1"/>
    <col min="3" max="3" width="8.81640625" style="35" bestFit="1" customWidth="1"/>
    <col min="4" max="4" width="18.26953125" style="35" bestFit="1" customWidth="1"/>
    <col min="5" max="5" width="17.453125" style="35" bestFit="1" customWidth="1"/>
    <col min="6" max="6" width="13.54296875" style="35" bestFit="1" customWidth="1"/>
    <col min="7" max="7" width="9.7265625" style="35" bestFit="1" customWidth="1"/>
    <col min="8" max="8" width="8.81640625" style="35" bestFit="1" customWidth="1"/>
    <col min="9" max="9" width="14.7265625" style="35" bestFit="1" customWidth="1"/>
    <col min="10" max="10" width="15.26953125" style="35" bestFit="1" customWidth="1"/>
    <col min="11" max="16384" width="12.7265625" style="35"/>
  </cols>
  <sheetData>
    <row r="1" spans="1:11" ht="13" x14ac:dyDescent="0.3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8" t="s">
        <v>194</v>
      </c>
      <c r="C2" s="138" t="s">
        <v>194</v>
      </c>
      <c r="D2" s="138" t="s">
        <v>194</v>
      </c>
      <c r="E2" s="138" t="s">
        <v>194</v>
      </c>
      <c r="F2" s="138" t="s">
        <v>194</v>
      </c>
      <c r="G2" s="138" t="s">
        <v>194</v>
      </c>
      <c r="H2" s="138" t="s">
        <v>194</v>
      </c>
      <c r="I2" s="138"/>
      <c r="J2" s="138"/>
      <c r="K2" s="138"/>
    </row>
    <row r="3" spans="1:11" x14ac:dyDescent="0.25">
      <c r="A3" s="35" t="s">
        <v>2</v>
      </c>
      <c r="B3" s="138" t="s">
        <v>194</v>
      </c>
      <c r="C3" s="138" t="s">
        <v>194</v>
      </c>
      <c r="D3" s="138" t="s">
        <v>194</v>
      </c>
      <c r="E3" s="138" t="s">
        <v>194</v>
      </c>
      <c r="F3" s="138" t="s">
        <v>194</v>
      </c>
      <c r="G3" s="138" t="s">
        <v>194</v>
      </c>
      <c r="H3" s="138" t="s">
        <v>194</v>
      </c>
      <c r="I3" s="138"/>
      <c r="J3" s="138"/>
      <c r="K3" s="138"/>
    </row>
    <row r="4" spans="1:11" x14ac:dyDescent="0.25">
      <c r="A4" s="35" t="s">
        <v>3</v>
      </c>
      <c r="B4" s="138" t="s">
        <v>194</v>
      </c>
      <c r="C4" s="138" t="s">
        <v>194</v>
      </c>
      <c r="D4" s="138" t="s">
        <v>194</v>
      </c>
      <c r="E4" s="138" t="s">
        <v>194</v>
      </c>
      <c r="F4" s="138" t="s">
        <v>194</v>
      </c>
      <c r="G4" s="138" t="s">
        <v>194</v>
      </c>
      <c r="H4" s="138" t="s">
        <v>194</v>
      </c>
      <c r="I4" s="138"/>
      <c r="J4" s="138"/>
      <c r="K4" s="138"/>
    </row>
    <row r="5" spans="1:11" x14ac:dyDescent="0.25">
      <c r="A5" s="35" t="s">
        <v>4</v>
      </c>
      <c r="B5" s="138" t="s">
        <v>194</v>
      </c>
      <c r="C5" s="138" t="s">
        <v>194</v>
      </c>
      <c r="D5" s="138" t="s">
        <v>194</v>
      </c>
      <c r="E5" s="138" t="s">
        <v>194</v>
      </c>
      <c r="F5" s="138" t="s">
        <v>194</v>
      </c>
      <c r="G5" s="138" t="s">
        <v>194</v>
      </c>
      <c r="H5" s="138" t="s">
        <v>194</v>
      </c>
      <c r="I5" s="138"/>
      <c r="J5" s="138"/>
      <c r="K5" s="138"/>
    </row>
    <row r="6" spans="1:11" x14ac:dyDescent="0.25">
      <c r="A6" s="35" t="s">
        <v>5</v>
      </c>
      <c r="B6" s="138" t="s">
        <v>194</v>
      </c>
      <c r="C6" s="138" t="s">
        <v>194</v>
      </c>
      <c r="D6" s="138" t="s">
        <v>194</v>
      </c>
      <c r="E6" s="138" t="s">
        <v>194</v>
      </c>
      <c r="F6" s="138" t="s">
        <v>194</v>
      </c>
      <c r="G6" s="138" t="s">
        <v>194</v>
      </c>
      <c r="H6" s="138" t="s">
        <v>194</v>
      </c>
      <c r="I6" s="138"/>
      <c r="J6" s="138"/>
      <c r="K6" s="138"/>
    </row>
    <row r="7" spans="1:11" x14ac:dyDescent="0.25">
      <c r="A7" s="35" t="s">
        <v>53</v>
      </c>
      <c r="B7" s="138"/>
      <c r="C7" s="138" t="s">
        <v>194</v>
      </c>
      <c r="D7" s="138"/>
      <c r="E7" s="138"/>
      <c r="F7" s="138"/>
      <c r="G7" s="138"/>
      <c r="H7" s="138" t="s">
        <v>194</v>
      </c>
      <c r="I7" s="138" t="s">
        <v>194</v>
      </c>
      <c r="J7" s="138"/>
      <c r="K7" s="138"/>
    </row>
    <row r="8" spans="1:11" x14ac:dyDescent="0.25">
      <c r="A8" s="35" t="s">
        <v>54</v>
      </c>
      <c r="B8" s="138"/>
      <c r="C8" s="138" t="s">
        <v>194</v>
      </c>
      <c r="D8" s="138"/>
      <c r="E8" s="138"/>
      <c r="F8" s="138"/>
      <c r="G8" s="138"/>
      <c r="H8" s="138" t="s">
        <v>194</v>
      </c>
      <c r="I8" s="138" t="s">
        <v>194</v>
      </c>
      <c r="J8" s="138"/>
      <c r="K8" s="138"/>
    </row>
    <row r="9" spans="1:11" x14ac:dyDescent="0.25">
      <c r="A9" s="35" t="s">
        <v>55</v>
      </c>
      <c r="B9" s="138"/>
      <c r="C9" s="138" t="s">
        <v>194</v>
      </c>
      <c r="D9" s="138"/>
      <c r="E9" s="138"/>
      <c r="F9" s="138"/>
      <c r="G9" s="138"/>
      <c r="H9" s="138" t="s">
        <v>194</v>
      </c>
      <c r="I9" s="138" t="s">
        <v>194</v>
      </c>
      <c r="J9" s="138"/>
      <c r="K9" s="138"/>
    </row>
    <row r="10" spans="1:11" x14ac:dyDescent="0.25">
      <c r="A10" s="35" t="s">
        <v>56</v>
      </c>
      <c r="B10" s="138"/>
      <c r="C10" s="138" t="s">
        <v>194</v>
      </c>
      <c r="D10" s="138"/>
      <c r="E10" s="138"/>
      <c r="F10" s="138"/>
      <c r="G10" s="138"/>
      <c r="H10" s="138" t="s">
        <v>194</v>
      </c>
      <c r="I10" s="138" t="s">
        <v>194</v>
      </c>
      <c r="J10" s="138"/>
      <c r="K10" s="138"/>
    </row>
    <row r="11" spans="1:11" x14ac:dyDescent="0.25">
      <c r="A11" s="35" t="s">
        <v>49</v>
      </c>
      <c r="B11" s="138"/>
      <c r="C11" s="138" t="s">
        <v>194</v>
      </c>
      <c r="D11" s="138"/>
      <c r="E11" s="138"/>
      <c r="F11" s="138"/>
      <c r="G11" s="138"/>
      <c r="H11" s="138"/>
      <c r="I11" s="138"/>
      <c r="J11" s="138" t="s">
        <v>194</v>
      </c>
      <c r="K11" s="138" t="s">
        <v>194</v>
      </c>
    </row>
    <row r="12" spans="1:11" x14ac:dyDescent="0.25">
      <c r="A12" s="35" t="s">
        <v>50</v>
      </c>
      <c r="B12" s="138"/>
      <c r="C12" s="138" t="s">
        <v>194</v>
      </c>
      <c r="D12" s="138"/>
      <c r="E12" s="138"/>
      <c r="F12" s="138"/>
      <c r="G12" s="138"/>
      <c r="H12" s="138"/>
      <c r="I12" s="138"/>
      <c r="J12" s="138"/>
      <c r="K12" s="138" t="s">
        <v>194</v>
      </c>
    </row>
    <row r="13" spans="1:11" x14ac:dyDescent="0.25">
      <c r="A13" s="35" t="s">
        <v>51</v>
      </c>
      <c r="B13" s="138"/>
      <c r="C13" s="138" t="s">
        <v>194</v>
      </c>
      <c r="D13" s="138"/>
      <c r="E13" s="138"/>
      <c r="F13" s="138"/>
      <c r="G13" s="138"/>
      <c r="H13" s="138"/>
      <c r="I13" s="138"/>
      <c r="J13" s="138"/>
      <c r="K13" s="138" t="s">
        <v>194</v>
      </c>
    </row>
    <row r="14" spans="1:11" x14ac:dyDescent="0.25">
      <c r="A14" s="35" t="s">
        <v>52</v>
      </c>
      <c r="B14" s="138"/>
      <c r="C14" s="138" t="s">
        <v>194</v>
      </c>
      <c r="D14" s="138"/>
      <c r="E14" s="138"/>
      <c r="F14" s="138"/>
      <c r="G14" s="138"/>
      <c r="H14" s="138"/>
      <c r="I14" s="138"/>
      <c r="J14" s="138"/>
      <c r="K14" s="138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C19" sqref="C19"/>
    </sheetView>
  </sheetViews>
  <sheetFormatPr defaultColWidth="14.453125" defaultRowHeight="15.75" customHeight="1" x14ac:dyDescent="0.25"/>
  <cols>
    <col min="1" max="1" width="8.453125" style="12" customWidth="1"/>
    <col min="2" max="9" width="16.8164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7">
        <v>1319562.5581500002</v>
      </c>
      <c r="C2" s="78">
        <v>2195300</v>
      </c>
      <c r="D2" s="78">
        <v>3401860</v>
      </c>
      <c r="E2" s="78">
        <v>39016</v>
      </c>
      <c r="F2" s="78">
        <v>36538</v>
      </c>
      <c r="G2" s="22">
        <f t="shared" ref="G2:G40" si="0">C2+D2+E2+F2</f>
        <v>5672714</v>
      </c>
      <c r="H2" s="22">
        <f t="shared" ref="H2:H40" si="1">(B2 + stillbirth*B2/(1000-stillbirth))/(1-abortion)</f>
        <v>1554672.5836266985</v>
      </c>
      <c r="I2" s="22">
        <f>G2-H2</f>
        <v>4118041.4163733013</v>
      </c>
    </row>
    <row r="3" spans="1:9" ht="15.75" customHeight="1" x14ac:dyDescent="0.25">
      <c r="A3" s="7">
        <f t="shared" ref="A3:A40" si="2">IF($A$2+ROW(A3)-2&lt;=end_year,A2+1,"")</f>
        <v>2018</v>
      </c>
      <c r="B3" s="77">
        <v>1337447.4533333334</v>
      </c>
      <c r="C3" s="78">
        <v>2250000</v>
      </c>
      <c r="D3" s="78">
        <v>3518000</v>
      </c>
      <c r="E3" s="78">
        <v>40000</v>
      </c>
      <c r="F3" s="78">
        <v>36000</v>
      </c>
      <c r="G3" s="22">
        <f t="shared" si="0"/>
        <v>5844000</v>
      </c>
      <c r="H3" s="22">
        <f t="shared" si="1"/>
        <v>1575744.0788967279</v>
      </c>
      <c r="I3" s="22">
        <f t="shared" ref="I3:I15" si="3">G3-H3</f>
        <v>4268255.9211032726</v>
      </c>
    </row>
    <row r="4" spans="1:9" ht="15.75" customHeight="1" x14ac:dyDescent="0.25">
      <c r="A4" s="7">
        <f t="shared" si="2"/>
        <v>2019</v>
      </c>
      <c r="B4" s="77">
        <v>1355417.1766666668</v>
      </c>
      <c r="C4" s="78">
        <v>2303000</v>
      </c>
      <c r="D4" s="78">
        <v>3638000</v>
      </c>
      <c r="E4" s="78">
        <v>41000</v>
      </c>
      <c r="F4" s="78">
        <v>37000</v>
      </c>
      <c r="G4" s="22">
        <f t="shared" si="0"/>
        <v>6019000</v>
      </c>
      <c r="H4" s="22">
        <f t="shared" si="1"/>
        <v>1596915.5163773859</v>
      </c>
      <c r="I4" s="22">
        <f t="shared" si="3"/>
        <v>4422084.4836226143</v>
      </c>
    </row>
    <row r="5" spans="1:9" ht="15.75" customHeight="1" x14ac:dyDescent="0.25">
      <c r="A5" s="7">
        <f t="shared" si="2"/>
        <v>2020</v>
      </c>
      <c r="B5" s="77">
        <v>1373500.845</v>
      </c>
      <c r="C5" s="78">
        <v>2355000</v>
      </c>
      <c r="D5" s="78">
        <v>3757000</v>
      </c>
      <c r="E5" s="78">
        <v>41000</v>
      </c>
      <c r="F5" s="78">
        <v>37000</v>
      </c>
      <c r="G5" s="22">
        <f t="shared" si="0"/>
        <v>6190000</v>
      </c>
      <c r="H5" s="22">
        <f t="shared" si="1"/>
        <v>1618221.2007464902</v>
      </c>
      <c r="I5" s="22">
        <f t="shared" si="3"/>
        <v>4571778.7992535103</v>
      </c>
    </row>
    <row r="6" spans="1:9" ht="15.75" customHeight="1" x14ac:dyDescent="0.25">
      <c r="A6" s="7">
        <f t="shared" si="2"/>
        <v>2021</v>
      </c>
      <c r="B6" s="77">
        <v>1393963.7567999999</v>
      </c>
      <c r="C6" s="78">
        <v>2404000</v>
      </c>
      <c r="D6" s="78">
        <v>3880000</v>
      </c>
      <c r="E6" s="78">
        <v>41000</v>
      </c>
      <c r="F6" s="78">
        <v>37000</v>
      </c>
      <c r="G6" s="22">
        <f t="shared" si="0"/>
        <v>6362000</v>
      </c>
      <c r="H6" s="22">
        <f t="shared" si="1"/>
        <v>1642330.0448176893</v>
      </c>
      <c r="I6" s="22">
        <f t="shared" si="3"/>
        <v>4719669.9551823102</v>
      </c>
    </row>
    <row r="7" spans="1:9" ht="15.75" customHeight="1" x14ac:dyDescent="0.25">
      <c r="A7" s="7">
        <f t="shared" si="2"/>
        <v>2022</v>
      </c>
      <c r="B7" s="77">
        <v>1414540.8828</v>
      </c>
      <c r="C7" s="78">
        <v>2451000</v>
      </c>
      <c r="D7" s="78">
        <v>4001000</v>
      </c>
      <c r="E7" s="78">
        <v>41000</v>
      </c>
      <c r="F7" s="78">
        <v>36000</v>
      </c>
      <c r="G7" s="22">
        <f t="shared" si="0"/>
        <v>6529000</v>
      </c>
      <c r="H7" s="22">
        <f t="shared" si="1"/>
        <v>1666573.4529414261</v>
      </c>
      <c r="I7" s="22">
        <f t="shared" si="3"/>
        <v>4862426.5470585739</v>
      </c>
    </row>
    <row r="8" spans="1:9" ht="15.75" customHeight="1" x14ac:dyDescent="0.25">
      <c r="A8" s="7">
        <f t="shared" si="2"/>
        <v>2023</v>
      </c>
      <c r="B8" s="77">
        <v>1435151.2032000001</v>
      </c>
      <c r="C8" s="78">
        <v>2496000</v>
      </c>
      <c r="D8" s="78">
        <v>4121000</v>
      </c>
      <c r="E8" s="78">
        <v>42000</v>
      </c>
      <c r="F8" s="78">
        <v>37000</v>
      </c>
      <c r="G8" s="22">
        <f t="shared" si="0"/>
        <v>6696000</v>
      </c>
      <c r="H8" s="22">
        <f t="shared" si="1"/>
        <v>1690855.9698010774</v>
      </c>
      <c r="I8" s="22">
        <f t="shared" si="3"/>
        <v>5005144.0301989224</v>
      </c>
    </row>
    <row r="9" spans="1:9" ht="15.75" customHeight="1" x14ac:dyDescent="0.25">
      <c r="A9" s="7">
        <f t="shared" si="2"/>
        <v>2024</v>
      </c>
      <c r="B9" s="77">
        <v>1455624.7551999998</v>
      </c>
      <c r="C9" s="78">
        <v>2540000</v>
      </c>
      <c r="D9" s="78">
        <v>4239000</v>
      </c>
      <c r="E9" s="78">
        <v>42000</v>
      </c>
      <c r="F9" s="78">
        <v>36000</v>
      </c>
      <c r="G9" s="22">
        <f t="shared" si="0"/>
        <v>6857000</v>
      </c>
      <c r="H9" s="22">
        <f t="shared" si="1"/>
        <v>1714977.3498654524</v>
      </c>
      <c r="I9" s="22">
        <f t="shared" si="3"/>
        <v>5142022.6501345476</v>
      </c>
    </row>
    <row r="10" spans="1:9" ht="15.75" customHeight="1" x14ac:dyDescent="0.25">
      <c r="A10" s="7">
        <f t="shared" si="2"/>
        <v>2025</v>
      </c>
      <c r="B10" s="77">
        <v>1475978</v>
      </c>
      <c r="C10" s="78">
        <v>2583000</v>
      </c>
      <c r="D10" s="78">
        <v>4354000</v>
      </c>
      <c r="E10" s="78">
        <v>42000</v>
      </c>
      <c r="F10" s="78">
        <v>37000</v>
      </c>
      <c r="G10" s="22">
        <f t="shared" si="0"/>
        <v>7016000</v>
      </c>
      <c r="H10" s="22">
        <f t="shared" si="1"/>
        <v>1738956.9872710223</v>
      </c>
      <c r="I10" s="22">
        <f t="shared" si="3"/>
        <v>5277043.0127289779</v>
      </c>
    </row>
    <row r="11" spans="1:9" ht="15.75" customHeight="1" x14ac:dyDescent="0.25">
      <c r="A11" s="7">
        <f t="shared" si="2"/>
        <v>2026</v>
      </c>
      <c r="B11" s="77">
        <v>1496387.9475999998</v>
      </c>
      <c r="C11" s="78">
        <v>2623000</v>
      </c>
      <c r="D11" s="78">
        <v>4464000</v>
      </c>
      <c r="E11" s="78">
        <v>44000</v>
      </c>
      <c r="F11" s="78">
        <v>37000</v>
      </c>
      <c r="G11" s="22">
        <f t="shared" si="0"/>
        <v>7168000</v>
      </c>
      <c r="H11" s="22">
        <f t="shared" si="1"/>
        <v>1763003.430367637</v>
      </c>
      <c r="I11" s="22">
        <f t="shared" si="3"/>
        <v>5404996.5696323626</v>
      </c>
    </row>
    <row r="12" spans="1:9" ht="15.75" customHeight="1" x14ac:dyDescent="0.25">
      <c r="A12" s="7">
        <f t="shared" si="2"/>
        <v>2027</v>
      </c>
      <c r="B12" s="77">
        <v>1516576.4991999997</v>
      </c>
      <c r="C12" s="78">
        <v>2662000</v>
      </c>
      <c r="D12" s="78">
        <v>4570000</v>
      </c>
      <c r="E12" s="78">
        <v>44000</v>
      </c>
      <c r="F12" s="78">
        <v>38000</v>
      </c>
      <c r="G12" s="22">
        <f t="shared" si="0"/>
        <v>7314000</v>
      </c>
      <c r="H12" s="22">
        <f t="shared" si="1"/>
        <v>1786789.0307408818</v>
      </c>
      <c r="I12" s="22">
        <f t="shared" si="3"/>
        <v>5527210.9692591187</v>
      </c>
    </row>
    <row r="13" spans="1:9" ht="15.75" customHeight="1" x14ac:dyDescent="0.25">
      <c r="A13" s="7">
        <f t="shared" si="2"/>
        <v>2028</v>
      </c>
      <c r="B13" s="77">
        <v>1536502.6751999997</v>
      </c>
      <c r="C13" s="78">
        <v>2701000</v>
      </c>
      <c r="D13" s="78">
        <v>4674000</v>
      </c>
      <c r="E13" s="78">
        <v>44000</v>
      </c>
      <c r="F13" s="78">
        <v>38000</v>
      </c>
      <c r="G13" s="22">
        <f t="shared" si="0"/>
        <v>7457000</v>
      </c>
      <c r="H13" s="22">
        <f t="shared" si="1"/>
        <v>1810265.5073447281</v>
      </c>
      <c r="I13" s="22">
        <f t="shared" si="3"/>
        <v>5646734.4926552717</v>
      </c>
    </row>
    <row r="14" spans="1:9" ht="15.75" customHeight="1" x14ac:dyDescent="0.25">
      <c r="A14" s="7">
        <f t="shared" si="2"/>
        <v>2029</v>
      </c>
      <c r="B14" s="77">
        <v>1556213.6347999997</v>
      </c>
      <c r="C14" s="78">
        <v>2741000</v>
      </c>
      <c r="D14" s="78">
        <v>4772000</v>
      </c>
      <c r="E14" s="78">
        <v>44000</v>
      </c>
      <c r="F14" s="78">
        <v>39000</v>
      </c>
      <c r="G14" s="22">
        <f t="shared" si="0"/>
        <v>7596000</v>
      </c>
      <c r="H14" s="22">
        <f t="shared" si="1"/>
        <v>1833488.4218612297</v>
      </c>
      <c r="I14" s="22">
        <f t="shared" si="3"/>
        <v>5762511.5781387705</v>
      </c>
    </row>
    <row r="15" spans="1:9" ht="15.75" customHeight="1" x14ac:dyDescent="0.25">
      <c r="A15" s="7">
        <f t="shared" si="2"/>
        <v>2030</v>
      </c>
      <c r="B15" s="77">
        <v>1575610.66</v>
      </c>
      <c r="C15" s="78">
        <v>2781000</v>
      </c>
      <c r="D15" s="78">
        <v>4866000</v>
      </c>
      <c r="E15" s="78">
        <v>44000</v>
      </c>
      <c r="F15" s="78">
        <v>39000</v>
      </c>
      <c r="G15" s="22">
        <f t="shared" si="0"/>
        <v>7730000</v>
      </c>
      <c r="H15" s="22">
        <f t="shared" si="1"/>
        <v>1856341.4674376626</v>
      </c>
      <c r="I15" s="22">
        <f t="shared" si="3"/>
        <v>5873658.5325623378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>
        <v>110</v>
      </c>
      <c r="C17" s="77"/>
      <c r="D17" s="78"/>
      <c r="E17" s="78"/>
      <c r="F17" s="78"/>
      <c r="G17" s="22">
        <f t="shared" si="0"/>
        <v>0</v>
      </c>
      <c r="H17" s="22">
        <f t="shared" si="1"/>
        <v>129.59899713939669</v>
      </c>
      <c r="I17" s="22">
        <f t="shared" si="4"/>
        <v>-129.59899713939669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G15" sqref="G15"/>
    </sheetView>
  </sheetViews>
  <sheetFormatPr defaultColWidth="12.7265625" defaultRowHeight="12.5" x14ac:dyDescent="0.25"/>
  <cols>
    <col min="1" max="1" width="48.1796875" style="35" customWidth="1"/>
    <col min="2" max="2" width="15" style="35" customWidth="1"/>
    <col min="3" max="3" width="14.7265625" style="35" customWidth="1"/>
    <col min="4" max="16384" width="12.7265625" style="35"/>
  </cols>
  <sheetData>
    <row r="1" spans="1:10" ht="13" x14ac:dyDescent="0.3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9" t="s">
        <v>5</v>
      </c>
    </row>
    <row r="2" spans="1:10" ht="13" x14ac:dyDescent="0.3">
      <c r="A2" s="40" t="s">
        <v>220</v>
      </c>
      <c r="B2" s="146" t="s">
        <v>32</v>
      </c>
      <c r="C2" s="35" t="s">
        <v>176</v>
      </c>
      <c r="D2" s="139">
        <v>1</v>
      </c>
      <c r="E2" s="139">
        <v>1</v>
      </c>
      <c r="F2" s="139">
        <v>1</v>
      </c>
      <c r="G2" s="139">
        <v>1</v>
      </c>
      <c r="H2" s="139">
        <v>1</v>
      </c>
    </row>
    <row r="3" spans="1:10" x14ac:dyDescent="0.25">
      <c r="B3" s="146"/>
      <c r="C3" s="35" t="s">
        <v>175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J3" s="100"/>
    </row>
    <row r="4" spans="1:10" x14ac:dyDescent="0.25">
      <c r="B4" s="146"/>
      <c r="C4" s="35" t="s">
        <v>174</v>
      </c>
      <c r="D4" s="139">
        <v>1</v>
      </c>
      <c r="E4" s="139">
        <v>1</v>
      </c>
      <c r="F4" s="139">
        <v>1</v>
      </c>
      <c r="G4" s="139">
        <v>1</v>
      </c>
      <c r="H4" s="139">
        <v>1</v>
      </c>
      <c r="J4" s="100"/>
    </row>
    <row r="5" spans="1:10" x14ac:dyDescent="0.25">
      <c r="B5" s="146" t="s">
        <v>1</v>
      </c>
      <c r="C5" s="35" t="s">
        <v>176</v>
      </c>
      <c r="D5" s="139">
        <f>5.16</f>
        <v>5.16</v>
      </c>
      <c r="E5" s="139">
        <v>1</v>
      </c>
      <c r="F5" s="139">
        <v>1</v>
      </c>
      <c r="G5" s="139">
        <v>1</v>
      </c>
      <c r="H5" s="139">
        <v>1</v>
      </c>
    </row>
    <row r="6" spans="1:10" x14ac:dyDescent="0.25">
      <c r="B6" s="146"/>
      <c r="C6" s="35" t="s">
        <v>175</v>
      </c>
      <c r="D6" s="139">
        <v>5.16</v>
      </c>
      <c r="E6" s="139">
        <v>1</v>
      </c>
      <c r="F6" s="139">
        <v>1</v>
      </c>
      <c r="G6" s="139">
        <v>1</v>
      </c>
      <c r="H6" s="139">
        <v>1</v>
      </c>
    </row>
    <row r="7" spans="1:10" x14ac:dyDescent="0.25">
      <c r="B7" s="146"/>
      <c r="C7" s="35" t="s">
        <v>174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</row>
    <row r="8" spans="1:10" x14ac:dyDescent="0.25">
      <c r="B8" s="146" t="s">
        <v>2</v>
      </c>
      <c r="C8" s="35" t="s">
        <v>176</v>
      </c>
      <c r="D8" s="139">
        <v>1</v>
      </c>
      <c r="E8" s="139">
        <v>5.16</v>
      </c>
      <c r="F8" s="139">
        <v>1</v>
      </c>
      <c r="G8" s="139">
        <v>1</v>
      </c>
      <c r="H8" s="139">
        <v>1</v>
      </c>
    </row>
    <row r="9" spans="1:10" x14ac:dyDescent="0.25">
      <c r="B9" s="146"/>
      <c r="C9" s="35" t="s">
        <v>175</v>
      </c>
      <c r="D9" s="139">
        <v>1</v>
      </c>
      <c r="E9" s="139">
        <v>5.16</v>
      </c>
      <c r="F9" s="139">
        <v>1</v>
      </c>
      <c r="G9" s="139">
        <v>1</v>
      </c>
      <c r="H9" s="139">
        <v>1</v>
      </c>
    </row>
    <row r="10" spans="1:10" x14ac:dyDescent="0.25">
      <c r="B10" s="146"/>
      <c r="C10" s="35" t="s">
        <v>174</v>
      </c>
      <c r="D10" s="139">
        <v>1</v>
      </c>
      <c r="E10" s="139">
        <v>1</v>
      </c>
      <c r="F10" s="139">
        <v>1</v>
      </c>
      <c r="G10" s="139">
        <v>1</v>
      </c>
      <c r="H10" s="139">
        <v>1</v>
      </c>
    </row>
    <row r="11" spans="1:10" x14ac:dyDescent="0.25">
      <c r="B11" s="146" t="s">
        <v>3</v>
      </c>
      <c r="C11" s="35" t="s">
        <v>176</v>
      </c>
      <c r="D11" s="139">
        <v>1</v>
      </c>
      <c r="E11" s="139">
        <v>1</v>
      </c>
      <c r="F11" s="139">
        <v>1.82</v>
      </c>
      <c r="G11" s="139">
        <v>1</v>
      </c>
      <c r="H11" s="139">
        <v>1</v>
      </c>
    </row>
    <row r="12" spans="1:10" x14ac:dyDescent="0.25">
      <c r="B12" s="146"/>
      <c r="C12" s="35" t="s">
        <v>175</v>
      </c>
      <c r="D12" s="139">
        <v>1</v>
      </c>
      <c r="E12" s="139">
        <v>1</v>
      </c>
      <c r="F12" s="139">
        <v>1.82</v>
      </c>
      <c r="G12" s="139">
        <v>1</v>
      </c>
      <c r="H12" s="139">
        <v>1</v>
      </c>
    </row>
    <row r="13" spans="1:10" x14ac:dyDescent="0.25">
      <c r="B13" s="146"/>
      <c r="C13" s="35" t="s">
        <v>174</v>
      </c>
      <c r="D13" s="139">
        <v>1</v>
      </c>
      <c r="E13" s="139">
        <v>1</v>
      </c>
      <c r="F13" s="139">
        <v>1</v>
      </c>
      <c r="G13" s="139">
        <v>1</v>
      </c>
      <c r="H13" s="139">
        <v>1</v>
      </c>
    </row>
    <row r="14" spans="1:10" x14ac:dyDescent="0.25">
      <c r="B14" s="146" t="s">
        <v>4</v>
      </c>
      <c r="C14" s="35" t="s">
        <v>176</v>
      </c>
      <c r="D14" s="139">
        <v>1</v>
      </c>
      <c r="E14" s="139">
        <v>1</v>
      </c>
      <c r="F14" s="139">
        <v>1</v>
      </c>
      <c r="G14" s="139">
        <v>1.82</v>
      </c>
      <c r="H14" s="139">
        <v>1</v>
      </c>
    </row>
    <row r="15" spans="1:10" x14ac:dyDescent="0.25">
      <c r="B15" s="146"/>
      <c r="C15" s="35" t="s">
        <v>175</v>
      </c>
      <c r="D15" s="139">
        <v>1</v>
      </c>
      <c r="E15" s="139">
        <v>1</v>
      </c>
      <c r="F15" s="139">
        <v>1</v>
      </c>
      <c r="G15" s="139">
        <v>1.82</v>
      </c>
      <c r="H15" s="139">
        <v>1</v>
      </c>
    </row>
    <row r="16" spans="1:10" x14ac:dyDescent="0.25">
      <c r="B16" s="146"/>
      <c r="C16" s="35" t="s">
        <v>174</v>
      </c>
      <c r="D16" s="139">
        <v>1</v>
      </c>
      <c r="E16" s="139">
        <v>1</v>
      </c>
      <c r="F16" s="139">
        <v>1</v>
      </c>
      <c r="G16" s="139">
        <v>1</v>
      </c>
      <c r="H16" s="139">
        <v>1</v>
      </c>
    </row>
    <row r="17" spans="1:8" ht="13" x14ac:dyDescent="0.25">
      <c r="B17" s="101" t="s">
        <v>172</v>
      </c>
      <c r="C17" s="35" t="s">
        <v>174</v>
      </c>
      <c r="D17" s="139">
        <v>1.05</v>
      </c>
      <c r="E17" s="139">
        <v>1.05</v>
      </c>
      <c r="F17" s="139">
        <v>1.05</v>
      </c>
      <c r="G17" s="139">
        <v>1.05</v>
      </c>
      <c r="H17" s="139">
        <v>1</v>
      </c>
    </row>
    <row r="18" spans="1:8" x14ac:dyDescent="0.25">
      <c r="D18" s="137"/>
      <c r="E18" s="137"/>
      <c r="F18" s="137"/>
      <c r="G18" s="137"/>
      <c r="H18" s="137"/>
    </row>
    <row r="19" spans="1:8" ht="13" x14ac:dyDescent="0.3">
      <c r="A19" s="40" t="s">
        <v>221</v>
      </c>
      <c r="B19" s="146" t="s">
        <v>32</v>
      </c>
      <c r="C19" s="35" t="s">
        <v>176</v>
      </c>
      <c r="D19" s="139">
        <v>1</v>
      </c>
      <c r="E19" s="139">
        <v>1</v>
      </c>
      <c r="F19" s="139">
        <v>0.98</v>
      </c>
      <c r="G19" s="139">
        <v>0.98</v>
      </c>
      <c r="H19" s="139">
        <v>1</v>
      </c>
    </row>
    <row r="20" spans="1:8" x14ac:dyDescent="0.25">
      <c r="B20" s="146"/>
      <c r="C20" s="35" t="s">
        <v>175</v>
      </c>
      <c r="D20" s="139">
        <v>1</v>
      </c>
      <c r="E20" s="139">
        <v>1</v>
      </c>
      <c r="F20" s="139">
        <v>0.98</v>
      </c>
      <c r="G20" s="139">
        <v>0.98</v>
      </c>
      <c r="H20" s="139">
        <v>1</v>
      </c>
    </row>
    <row r="21" spans="1:8" x14ac:dyDescent="0.25">
      <c r="B21" s="146"/>
      <c r="C21" s="35" t="s">
        <v>174</v>
      </c>
      <c r="D21" s="139">
        <v>1</v>
      </c>
      <c r="E21" s="139">
        <v>1</v>
      </c>
      <c r="F21" s="139">
        <v>0.99</v>
      </c>
      <c r="G21" s="139">
        <v>0.99</v>
      </c>
      <c r="H21" s="139">
        <v>1</v>
      </c>
    </row>
    <row r="22" spans="1:8" x14ac:dyDescent="0.25">
      <c r="B22" s="146" t="s">
        <v>1</v>
      </c>
      <c r="C22" s="35" t="s">
        <v>176</v>
      </c>
      <c r="D22" s="139">
        <v>1</v>
      </c>
      <c r="E22" s="139">
        <v>1</v>
      </c>
      <c r="F22" s="139">
        <v>1</v>
      </c>
      <c r="G22" s="139">
        <v>1</v>
      </c>
      <c r="H22" s="139">
        <v>1</v>
      </c>
    </row>
    <row r="23" spans="1:8" x14ac:dyDescent="0.25">
      <c r="B23" s="146"/>
      <c r="C23" s="35" t="s">
        <v>175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</row>
    <row r="24" spans="1:8" x14ac:dyDescent="0.25">
      <c r="B24" s="146"/>
      <c r="C24" s="35" t="s">
        <v>174</v>
      </c>
      <c r="D24" s="139">
        <v>1</v>
      </c>
      <c r="E24" s="139">
        <v>1</v>
      </c>
      <c r="F24" s="139">
        <v>0.99</v>
      </c>
      <c r="G24" s="139">
        <v>0.99</v>
      </c>
      <c r="H24" s="139">
        <v>1</v>
      </c>
    </row>
    <row r="25" spans="1:8" x14ac:dyDescent="0.25">
      <c r="B25" s="146" t="s">
        <v>2</v>
      </c>
      <c r="C25" s="35" t="s">
        <v>176</v>
      </c>
      <c r="D25" s="139">
        <v>1</v>
      </c>
      <c r="E25" s="139">
        <v>1</v>
      </c>
      <c r="F25" s="139">
        <v>1</v>
      </c>
      <c r="G25" s="139">
        <v>1</v>
      </c>
      <c r="H25" s="139">
        <v>1</v>
      </c>
    </row>
    <row r="26" spans="1:8" x14ac:dyDescent="0.25">
      <c r="B26" s="146"/>
      <c r="C26" s="35" t="s">
        <v>175</v>
      </c>
      <c r="D26" s="139">
        <v>1</v>
      </c>
      <c r="E26" s="139">
        <v>1</v>
      </c>
      <c r="F26" s="139">
        <v>1</v>
      </c>
      <c r="G26" s="139">
        <v>1</v>
      </c>
      <c r="H26" s="139">
        <v>1</v>
      </c>
    </row>
    <row r="27" spans="1:8" x14ac:dyDescent="0.25">
      <c r="B27" s="146"/>
      <c r="C27" s="35" t="s">
        <v>174</v>
      </c>
      <c r="D27" s="139">
        <v>1</v>
      </c>
      <c r="E27" s="139">
        <v>1</v>
      </c>
      <c r="F27" s="139">
        <v>0.99</v>
      </c>
      <c r="G27" s="139">
        <v>0.99</v>
      </c>
      <c r="H27" s="139">
        <v>1</v>
      </c>
    </row>
    <row r="28" spans="1:8" x14ac:dyDescent="0.25">
      <c r="B28" s="146" t="s">
        <v>3</v>
      </c>
      <c r="C28" s="35" t="s">
        <v>176</v>
      </c>
      <c r="D28" s="139">
        <v>1</v>
      </c>
      <c r="E28" s="139">
        <v>1</v>
      </c>
      <c r="F28" s="139">
        <v>0.78</v>
      </c>
      <c r="G28" s="139">
        <v>1</v>
      </c>
      <c r="H28" s="139">
        <v>1</v>
      </c>
    </row>
    <row r="29" spans="1:8" x14ac:dyDescent="0.25">
      <c r="B29" s="146"/>
      <c r="C29" s="35" t="s">
        <v>175</v>
      </c>
      <c r="D29" s="139">
        <v>1</v>
      </c>
      <c r="E29" s="139">
        <v>1</v>
      </c>
      <c r="F29" s="139">
        <v>0.78</v>
      </c>
      <c r="G29" s="139">
        <v>1</v>
      </c>
      <c r="H29" s="139">
        <v>1</v>
      </c>
    </row>
    <row r="30" spans="1:8" x14ac:dyDescent="0.25">
      <c r="B30" s="146"/>
      <c r="C30" s="35" t="s">
        <v>174</v>
      </c>
      <c r="D30" s="139">
        <v>1</v>
      </c>
      <c r="E30" s="139">
        <v>1</v>
      </c>
      <c r="F30" s="139">
        <v>0.99</v>
      </c>
      <c r="G30" s="139">
        <v>0.99</v>
      </c>
      <c r="H30" s="139">
        <v>1</v>
      </c>
    </row>
    <row r="31" spans="1:8" x14ac:dyDescent="0.25">
      <c r="B31" s="146" t="s">
        <v>4</v>
      </c>
      <c r="C31" s="35" t="s">
        <v>176</v>
      </c>
      <c r="D31" s="139">
        <v>1</v>
      </c>
      <c r="E31" s="139">
        <v>1</v>
      </c>
      <c r="F31" s="139">
        <v>1</v>
      </c>
      <c r="G31" s="139">
        <v>0.78</v>
      </c>
      <c r="H31" s="139">
        <v>1</v>
      </c>
    </row>
    <row r="32" spans="1:8" x14ac:dyDescent="0.25">
      <c r="B32" s="146"/>
      <c r="C32" s="35" t="s">
        <v>175</v>
      </c>
      <c r="D32" s="139">
        <v>1</v>
      </c>
      <c r="E32" s="139">
        <v>1</v>
      </c>
      <c r="F32" s="139">
        <v>1</v>
      </c>
      <c r="G32" s="139">
        <v>0.78</v>
      </c>
      <c r="H32" s="139">
        <v>1</v>
      </c>
    </row>
    <row r="33" spans="1:8" x14ac:dyDescent="0.25">
      <c r="B33" s="146"/>
      <c r="C33" s="35" t="s">
        <v>174</v>
      </c>
      <c r="D33" s="139">
        <v>1</v>
      </c>
      <c r="E33" s="139">
        <v>1</v>
      </c>
      <c r="F33" s="139">
        <v>1</v>
      </c>
      <c r="G33" s="139">
        <v>0.99</v>
      </c>
      <c r="H33" s="139">
        <v>1</v>
      </c>
    </row>
    <row r="34" spans="1:8" ht="13" x14ac:dyDescent="0.25">
      <c r="B34" s="101" t="s">
        <v>172</v>
      </c>
      <c r="C34" s="35" t="s">
        <v>174</v>
      </c>
      <c r="D34" s="139">
        <v>1</v>
      </c>
      <c r="E34" s="139">
        <v>1</v>
      </c>
      <c r="F34" s="139">
        <v>0.95</v>
      </c>
      <c r="G34" s="139">
        <v>0.95</v>
      </c>
      <c r="H34" s="139">
        <v>1</v>
      </c>
    </row>
    <row r="35" spans="1:8" x14ac:dyDescent="0.25">
      <c r="D35" s="137"/>
      <c r="E35" s="137"/>
      <c r="F35" s="137"/>
      <c r="G35" s="137"/>
      <c r="H35" s="137"/>
    </row>
    <row r="36" spans="1:8" ht="13" x14ac:dyDescent="0.3">
      <c r="A36" s="102" t="s">
        <v>222</v>
      </c>
      <c r="B36" s="146" t="s">
        <v>32</v>
      </c>
      <c r="C36" s="35" t="s">
        <v>176</v>
      </c>
      <c r="D36" s="139">
        <v>1</v>
      </c>
      <c r="E36" s="139">
        <v>1</v>
      </c>
      <c r="F36" s="139">
        <v>1</v>
      </c>
      <c r="G36" s="139">
        <v>1</v>
      </c>
      <c r="H36" s="139">
        <v>1</v>
      </c>
    </row>
    <row r="37" spans="1:8" x14ac:dyDescent="0.25">
      <c r="B37" s="146"/>
      <c r="C37" s="35" t="s">
        <v>175</v>
      </c>
      <c r="D37" s="139">
        <v>1</v>
      </c>
      <c r="E37" s="139">
        <v>1</v>
      </c>
      <c r="F37" s="139">
        <v>1</v>
      </c>
      <c r="G37" s="139">
        <v>1</v>
      </c>
      <c r="H37" s="139">
        <v>1</v>
      </c>
    </row>
    <row r="38" spans="1:8" x14ac:dyDescent="0.25">
      <c r="B38" s="146"/>
      <c r="C38" s="35" t="s">
        <v>174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</row>
    <row r="39" spans="1:8" x14ac:dyDescent="0.25">
      <c r="B39" s="146" t="s">
        <v>1</v>
      </c>
      <c r="C39" s="35" t="s">
        <v>176</v>
      </c>
      <c r="D39" s="139">
        <v>1</v>
      </c>
      <c r="E39" s="139">
        <v>1</v>
      </c>
      <c r="F39" s="139">
        <v>1</v>
      </c>
      <c r="G39" s="139">
        <v>1</v>
      </c>
      <c r="H39" s="139">
        <v>1</v>
      </c>
    </row>
    <row r="40" spans="1:8" x14ac:dyDescent="0.25">
      <c r="B40" s="146"/>
      <c r="C40" s="35" t="s">
        <v>175</v>
      </c>
      <c r="D40" s="139">
        <v>1</v>
      </c>
      <c r="E40" s="139">
        <v>1</v>
      </c>
      <c r="F40" s="139">
        <v>1</v>
      </c>
      <c r="G40" s="139">
        <v>1</v>
      </c>
      <c r="H40" s="139">
        <v>1</v>
      </c>
    </row>
    <row r="41" spans="1:8" x14ac:dyDescent="0.25">
      <c r="B41" s="146"/>
      <c r="C41" s="35" t="s">
        <v>174</v>
      </c>
      <c r="D41" s="139">
        <v>1</v>
      </c>
      <c r="E41" s="139">
        <v>1</v>
      </c>
      <c r="F41" s="139">
        <v>1</v>
      </c>
      <c r="G41" s="139">
        <v>1</v>
      </c>
      <c r="H41" s="139">
        <v>1</v>
      </c>
    </row>
    <row r="42" spans="1:8" x14ac:dyDescent="0.25">
      <c r="B42" s="146" t="s">
        <v>2</v>
      </c>
      <c r="C42" s="35" t="s">
        <v>176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</row>
    <row r="43" spans="1:8" x14ac:dyDescent="0.25">
      <c r="B43" s="146"/>
      <c r="C43" s="35" t="s">
        <v>175</v>
      </c>
      <c r="D43" s="139">
        <v>1</v>
      </c>
      <c r="E43" s="139">
        <v>1</v>
      </c>
      <c r="F43" s="139">
        <v>1</v>
      </c>
      <c r="G43" s="139">
        <v>1</v>
      </c>
      <c r="H43" s="139">
        <v>1</v>
      </c>
    </row>
    <row r="44" spans="1:8" x14ac:dyDescent="0.25">
      <c r="B44" s="146"/>
      <c r="C44" s="35" t="s">
        <v>174</v>
      </c>
      <c r="D44" s="139">
        <v>1</v>
      </c>
      <c r="E44" s="139">
        <v>1</v>
      </c>
      <c r="F44" s="139">
        <v>1</v>
      </c>
      <c r="G44" s="139">
        <v>1</v>
      </c>
      <c r="H44" s="139">
        <v>1</v>
      </c>
    </row>
    <row r="45" spans="1:8" x14ac:dyDescent="0.25">
      <c r="B45" s="146" t="s">
        <v>3</v>
      </c>
      <c r="C45" s="35" t="s">
        <v>176</v>
      </c>
      <c r="D45" s="139">
        <v>1</v>
      </c>
      <c r="E45" s="139">
        <v>1</v>
      </c>
      <c r="F45" s="139">
        <v>1.82</v>
      </c>
      <c r="G45" s="139">
        <v>1</v>
      </c>
      <c r="H45" s="139">
        <v>1</v>
      </c>
    </row>
    <row r="46" spans="1:8" x14ac:dyDescent="0.25">
      <c r="B46" s="146"/>
      <c r="C46" s="35" t="s">
        <v>175</v>
      </c>
      <c r="D46" s="139">
        <v>1</v>
      </c>
      <c r="E46" s="139">
        <v>1</v>
      </c>
      <c r="F46" s="139">
        <v>1.82</v>
      </c>
      <c r="G46" s="139">
        <v>1</v>
      </c>
      <c r="H46" s="139">
        <v>1</v>
      </c>
    </row>
    <row r="47" spans="1:8" x14ac:dyDescent="0.25">
      <c r="B47" s="146"/>
      <c r="C47" s="35" t="s">
        <v>174</v>
      </c>
      <c r="D47" s="139">
        <v>1</v>
      </c>
      <c r="E47" s="139">
        <v>1</v>
      </c>
      <c r="F47" s="139">
        <v>1</v>
      </c>
      <c r="G47" s="139">
        <v>1</v>
      </c>
      <c r="H47" s="139">
        <v>1</v>
      </c>
    </row>
    <row r="48" spans="1:8" x14ac:dyDescent="0.25">
      <c r="B48" s="146" t="s">
        <v>4</v>
      </c>
      <c r="C48" s="35" t="s">
        <v>176</v>
      </c>
      <c r="D48" s="139">
        <v>1</v>
      </c>
      <c r="E48" s="139">
        <v>1</v>
      </c>
      <c r="F48" s="139">
        <v>1</v>
      </c>
      <c r="G48" s="139">
        <v>1.82</v>
      </c>
      <c r="H48" s="139">
        <v>1</v>
      </c>
    </row>
    <row r="49" spans="2:8" x14ac:dyDescent="0.25">
      <c r="B49" s="146"/>
      <c r="C49" s="35" t="s">
        <v>175</v>
      </c>
      <c r="D49" s="139">
        <v>1</v>
      </c>
      <c r="E49" s="139">
        <v>1</v>
      </c>
      <c r="F49" s="139">
        <v>1</v>
      </c>
      <c r="G49" s="139">
        <v>1.82</v>
      </c>
      <c r="H49" s="139">
        <v>1</v>
      </c>
    </row>
    <row r="50" spans="2:8" x14ac:dyDescent="0.25">
      <c r="B50" s="146"/>
      <c r="C50" s="35" t="s">
        <v>174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</row>
    <row r="51" spans="2:8" ht="13" x14ac:dyDescent="0.25">
      <c r="B51" s="103" t="s">
        <v>172</v>
      </c>
      <c r="C51" s="35" t="s">
        <v>174</v>
      </c>
      <c r="D51" s="139">
        <v>1.05</v>
      </c>
      <c r="E51" s="139">
        <v>1.05</v>
      </c>
      <c r="F51" s="139">
        <v>1.05</v>
      </c>
      <c r="G51" s="139">
        <v>1.05</v>
      </c>
      <c r="H51" s="13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1796875" defaultRowHeight="15.75" customHeight="1" x14ac:dyDescent="0.25"/>
  <cols>
    <col min="1" max="1" width="23.81640625" style="35" customWidth="1"/>
    <col min="2" max="2" width="34.1796875" style="35" customWidth="1"/>
    <col min="3" max="3" width="11.26953125" style="35" bestFit="1" customWidth="1"/>
    <col min="4" max="4" width="11.81640625" style="35" customWidth="1"/>
    <col min="5" max="6" width="15" style="35" customWidth="1"/>
    <col min="7" max="16384" width="16.1796875" style="35"/>
  </cols>
  <sheetData>
    <row r="1" spans="1:7" s="105" customFormat="1" ht="18.75" customHeight="1" x14ac:dyDescent="0.3">
      <c r="A1" s="104" t="s">
        <v>223</v>
      </c>
    </row>
    <row r="2" spans="1:7" ht="15.75" customHeight="1" x14ac:dyDescent="0.3">
      <c r="B2" s="106"/>
      <c r="C2" s="107" t="s">
        <v>26</v>
      </c>
      <c r="D2" s="108" t="s">
        <v>12</v>
      </c>
      <c r="E2" s="108" t="s">
        <v>11</v>
      </c>
      <c r="F2" s="108" t="s">
        <v>9</v>
      </c>
    </row>
    <row r="3" spans="1:7" ht="15.75" customHeight="1" x14ac:dyDescent="0.3">
      <c r="A3" s="40" t="s">
        <v>224</v>
      </c>
      <c r="B3" s="109"/>
      <c r="C3" s="110"/>
      <c r="D3" s="111"/>
      <c r="E3" s="111"/>
      <c r="F3" s="111"/>
    </row>
    <row r="4" spans="1:7" ht="15.75" customHeight="1" x14ac:dyDescent="0.25">
      <c r="B4" s="112" t="s">
        <v>75</v>
      </c>
      <c r="C4" s="140">
        <v>1</v>
      </c>
      <c r="D4" s="141">
        <v>1</v>
      </c>
      <c r="E4" s="141">
        <v>1</v>
      </c>
      <c r="F4" s="141">
        <v>1</v>
      </c>
    </row>
    <row r="5" spans="1:7" ht="15.75" customHeight="1" x14ac:dyDescent="0.25">
      <c r="B5" s="112" t="s">
        <v>76</v>
      </c>
      <c r="C5" s="140">
        <v>1</v>
      </c>
      <c r="D5" s="141">
        <v>1.41</v>
      </c>
      <c r="E5" s="141">
        <v>1.49</v>
      </c>
      <c r="F5" s="141">
        <v>3.03</v>
      </c>
    </row>
    <row r="6" spans="1:7" ht="15.75" customHeight="1" x14ac:dyDescent="0.25">
      <c r="B6" s="112" t="s">
        <v>77</v>
      </c>
      <c r="C6" s="140">
        <v>1</v>
      </c>
      <c r="D6" s="141">
        <v>1.18</v>
      </c>
      <c r="E6" s="141">
        <v>1.1000000000000001</v>
      </c>
      <c r="F6" s="141">
        <v>1.77</v>
      </c>
    </row>
    <row r="7" spans="1:7" ht="15.75" customHeight="1" x14ac:dyDescent="0.25">
      <c r="B7" s="112" t="s">
        <v>78</v>
      </c>
      <c r="C7" s="140">
        <v>1</v>
      </c>
      <c r="D7" s="141">
        <v>1</v>
      </c>
      <c r="E7" s="141">
        <v>1</v>
      </c>
      <c r="F7" s="141">
        <v>1</v>
      </c>
    </row>
    <row r="8" spans="1:7" ht="15.75" customHeight="1" x14ac:dyDescent="0.25">
      <c r="C8" s="113"/>
      <c r="D8" s="100"/>
      <c r="E8" s="100"/>
      <c r="F8" s="100"/>
    </row>
    <row r="9" spans="1:7" ht="15.75" customHeight="1" x14ac:dyDescent="0.3">
      <c r="A9" s="40" t="s">
        <v>225</v>
      </c>
      <c r="C9" s="140">
        <v>1</v>
      </c>
      <c r="D9" s="141">
        <v>1.53</v>
      </c>
      <c r="E9" s="141">
        <v>1.32</v>
      </c>
      <c r="F9" s="141">
        <v>1.53</v>
      </c>
      <c r="G9" s="114"/>
    </row>
    <row r="10" spans="1:7" ht="15.75" customHeight="1" x14ac:dyDescent="0.25">
      <c r="C10" s="113"/>
      <c r="D10" s="100"/>
      <c r="E10" s="100"/>
      <c r="F10" s="100"/>
      <c r="G10" s="114"/>
    </row>
    <row r="11" spans="1:7" s="105" customFormat="1" ht="15" customHeight="1" x14ac:dyDescent="0.3">
      <c r="A11" s="104" t="s">
        <v>226</v>
      </c>
      <c r="C11" s="115"/>
      <c r="D11" s="116"/>
      <c r="E11" s="116"/>
      <c r="F11" s="116"/>
      <c r="G11" s="117"/>
    </row>
    <row r="12" spans="1:7" ht="15.75" customHeight="1" x14ac:dyDescent="0.3">
      <c r="A12" s="40" t="s">
        <v>227</v>
      </c>
      <c r="C12" s="113"/>
      <c r="D12" s="100"/>
      <c r="E12" s="100"/>
      <c r="F12" s="100"/>
      <c r="G12" s="114"/>
    </row>
    <row r="13" spans="1:7" ht="15.75" customHeight="1" x14ac:dyDescent="0.25">
      <c r="B13" s="118" t="s">
        <v>228</v>
      </c>
      <c r="C13" s="140">
        <v>1</v>
      </c>
      <c r="D13" s="141">
        <v>5</v>
      </c>
      <c r="E13" s="141">
        <v>6.4</v>
      </c>
      <c r="F13" s="141">
        <v>46.5</v>
      </c>
      <c r="G13" s="114"/>
    </row>
    <row r="14" spans="1:7" ht="15.75" customHeight="1" x14ac:dyDescent="0.25">
      <c r="B14" s="118" t="s">
        <v>229</v>
      </c>
      <c r="C14" s="140">
        <v>1</v>
      </c>
      <c r="D14" s="141">
        <v>2.52</v>
      </c>
      <c r="E14" s="141">
        <v>1.96</v>
      </c>
      <c r="F14" s="141">
        <v>4.1900000000000004</v>
      </c>
      <c r="G14" s="114"/>
    </row>
    <row r="15" spans="1:7" ht="15.75" customHeight="1" x14ac:dyDescent="0.25">
      <c r="B15" s="118" t="s">
        <v>230</v>
      </c>
      <c r="C15" s="140">
        <v>1</v>
      </c>
      <c r="D15" s="141">
        <v>2.52</v>
      </c>
      <c r="E15" s="141">
        <v>1.96</v>
      </c>
      <c r="F15" s="141">
        <v>4.1900000000000004</v>
      </c>
      <c r="G15" s="114"/>
    </row>
    <row r="16" spans="1:7" ht="15.75" customHeight="1" x14ac:dyDescent="0.3">
      <c r="A16" s="40"/>
      <c r="B16" s="118"/>
      <c r="C16" s="119"/>
      <c r="D16" s="100"/>
      <c r="E16" s="100"/>
      <c r="F16" s="100"/>
      <c r="G16" s="114"/>
    </row>
    <row r="17" spans="1:7" ht="15.75" customHeight="1" x14ac:dyDescent="0.3">
      <c r="A17" s="40" t="s">
        <v>231</v>
      </c>
      <c r="B17" s="109"/>
      <c r="C17" s="120"/>
      <c r="D17" s="121"/>
      <c r="E17" s="121"/>
      <c r="F17" s="121"/>
      <c r="G17" s="114"/>
    </row>
    <row r="18" spans="1:7" ht="15.75" customHeight="1" x14ac:dyDescent="0.25">
      <c r="B18" s="122" t="s">
        <v>73</v>
      </c>
      <c r="C18" s="140">
        <v>1</v>
      </c>
      <c r="D18" s="141">
        <v>1</v>
      </c>
      <c r="E18" s="141">
        <v>1</v>
      </c>
      <c r="F18" s="141">
        <v>1</v>
      </c>
      <c r="G18" s="114"/>
    </row>
    <row r="19" spans="1:7" ht="15.75" customHeight="1" x14ac:dyDescent="0.25">
      <c r="B19" s="122" t="s">
        <v>7</v>
      </c>
      <c r="C19" s="140">
        <v>1</v>
      </c>
      <c r="D19" s="141">
        <v>2.0699999999999998</v>
      </c>
      <c r="E19" s="141">
        <v>8.02</v>
      </c>
      <c r="F19" s="141">
        <v>11.54</v>
      </c>
      <c r="G19" s="114"/>
    </row>
    <row r="20" spans="1:7" ht="15.75" customHeight="1" x14ac:dyDescent="0.25">
      <c r="B20" s="122" t="s">
        <v>8</v>
      </c>
      <c r="C20" s="140">
        <v>1</v>
      </c>
      <c r="D20" s="141">
        <v>2.0699999999999998</v>
      </c>
      <c r="E20" s="141">
        <v>8.02</v>
      </c>
      <c r="F20" s="141">
        <v>11.54</v>
      </c>
      <c r="G20" s="114"/>
    </row>
    <row r="21" spans="1:7" ht="15.75" customHeight="1" x14ac:dyDescent="0.25">
      <c r="B21" s="122" t="s">
        <v>10</v>
      </c>
      <c r="C21" s="140">
        <v>1</v>
      </c>
      <c r="D21" s="141">
        <v>2.0699999999999998</v>
      </c>
      <c r="E21" s="141">
        <v>8.02</v>
      </c>
      <c r="F21" s="141">
        <v>11.54</v>
      </c>
      <c r="G21" s="114"/>
    </row>
    <row r="22" spans="1:7" ht="15.75" customHeight="1" x14ac:dyDescent="0.25">
      <c r="B22" s="122" t="s">
        <v>13</v>
      </c>
      <c r="C22" s="140">
        <v>1</v>
      </c>
      <c r="D22" s="141">
        <v>1</v>
      </c>
      <c r="E22" s="141">
        <v>999.99</v>
      </c>
      <c r="F22" s="141">
        <v>999.99</v>
      </c>
    </row>
    <row r="23" spans="1:7" ht="15.75" customHeight="1" x14ac:dyDescent="0.25">
      <c r="B23" s="122" t="s">
        <v>14</v>
      </c>
      <c r="C23" s="140">
        <v>1</v>
      </c>
      <c r="D23" s="141">
        <v>1</v>
      </c>
      <c r="E23" s="141">
        <v>1</v>
      </c>
      <c r="F23" s="141">
        <v>1</v>
      </c>
    </row>
    <row r="24" spans="1:7" ht="15.75" customHeight="1" x14ac:dyDescent="0.25">
      <c r="B24" s="122" t="s">
        <v>27</v>
      </c>
      <c r="C24" s="140">
        <v>1</v>
      </c>
      <c r="D24" s="141">
        <v>1</v>
      </c>
      <c r="E24" s="141">
        <v>1</v>
      </c>
      <c r="F24" s="141">
        <v>1</v>
      </c>
    </row>
    <row r="25" spans="1:7" ht="15.75" customHeight="1" x14ac:dyDescent="0.25">
      <c r="B25" s="122" t="s">
        <v>15</v>
      </c>
      <c r="C25" s="140">
        <v>1</v>
      </c>
      <c r="D25" s="141">
        <v>1</v>
      </c>
      <c r="E25" s="141">
        <v>1</v>
      </c>
      <c r="F25" s="141">
        <v>1</v>
      </c>
    </row>
    <row r="26" spans="1:7" ht="15.75" customHeight="1" x14ac:dyDescent="0.25">
      <c r="B26" s="118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265625" defaultRowHeight="12.5" x14ac:dyDescent="0.25"/>
  <cols>
    <col min="1" max="1" width="27.26953125" style="35" customWidth="1"/>
    <col min="2" max="2" width="26.81640625" style="35" customWidth="1"/>
    <col min="3" max="3" width="18.26953125" style="35" customWidth="1"/>
    <col min="4" max="8" width="14.7265625" style="35" customWidth="1"/>
    <col min="9" max="12" width="15.26953125" style="35" bestFit="1" customWidth="1"/>
    <col min="13" max="16" width="16.81640625" style="35" bestFit="1" customWidth="1"/>
    <col min="17" max="16384" width="12.7265625" style="35"/>
  </cols>
  <sheetData>
    <row r="1" spans="1:16" s="105" customFormat="1" ht="13" x14ac:dyDescent="0.3">
      <c r="A1" s="104" t="s">
        <v>232</v>
      </c>
    </row>
    <row r="2" spans="1:16" ht="13" x14ac:dyDescent="0.3">
      <c r="A2" s="123" t="s">
        <v>213</v>
      </c>
      <c r="B2" s="124" t="s">
        <v>233</v>
      </c>
      <c r="C2" s="124" t="s">
        <v>234</v>
      </c>
      <c r="D2" s="108" t="s">
        <v>1</v>
      </c>
      <c r="E2" s="108" t="s">
        <v>2</v>
      </c>
      <c r="F2" s="108" t="s">
        <v>3</v>
      </c>
      <c r="G2" s="108" t="s">
        <v>4</v>
      </c>
      <c r="H2" s="108" t="s">
        <v>5</v>
      </c>
      <c r="I2" s="125"/>
      <c r="J2" s="125"/>
      <c r="K2" s="125"/>
      <c r="L2" s="125"/>
      <c r="M2" s="125"/>
      <c r="N2" s="125"/>
      <c r="O2" s="125"/>
      <c r="P2" s="125"/>
    </row>
    <row r="3" spans="1:16" ht="13" x14ac:dyDescent="0.3">
      <c r="A3" s="40"/>
      <c r="B3" s="35" t="s">
        <v>71</v>
      </c>
      <c r="C3" s="43" t="s">
        <v>235</v>
      </c>
      <c r="D3" s="140">
        <v>1</v>
      </c>
      <c r="E3" s="140">
        <v>1</v>
      </c>
      <c r="F3" s="140">
        <v>1</v>
      </c>
      <c r="G3" s="140">
        <v>1</v>
      </c>
      <c r="H3" s="140">
        <v>1</v>
      </c>
      <c r="I3" s="123"/>
      <c r="J3" s="123"/>
      <c r="K3" s="123"/>
      <c r="L3" s="123"/>
      <c r="M3" s="123"/>
      <c r="N3" s="123"/>
      <c r="O3" s="123"/>
      <c r="P3" s="123"/>
    </row>
    <row r="4" spans="1:16" x14ac:dyDescent="0.25">
      <c r="C4" s="43" t="s">
        <v>236</v>
      </c>
      <c r="D4" s="141">
        <v>1</v>
      </c>
      <c r="E4" s="141">
        <v>1.67</v>
      </c>
      <c r="F4" s="141">
        <v>1.67</v>
      </c>
      <c r="G4" s="141">
        <v>1.67</v>
      </c>
      <c r="H4" s="141">
        <v>1.67</v>
      </c>
      <c r="I4" s="123"/>
      <c r="J4" s="123"/>
      <c r="K4" s="123"/>
      <c r="L4" s="123"/>
      <c r="M4" s="123"/>
      <c r="N4" s="123"/>
      <c r="O4" s="123"/>
      <c r="P4" s="123"/>
    </row>
    <row r="5" spans="1:16" x14ac:dyDescent="0.25">
      <c r="C5" s="43" t="s">
        <v>237</v>
      </c>
      <c r="D5" s="141">
        <v>1</v>
      </c>
      <c r="E5" s="141">
        <v>2.38</v>
      </c>
      <c r="F5" s="141">
        <v>2.38</v>
      </c>
      <c r="G5" s="141">
        <v>2.38</v>
      </c>
      <c r="H5" s="141">
        <v>2.38</v>
      </c>
      <c r="I5" s="123"/>
      <c r="J5" s="123"/>
      <c r="K5" s="123"/>
      <c r="L5" s="123"/>
      <c r="M5" s="123"/>
      <c r="N5" s="123"/>
      <c r="O5" s="123"/>
      <c r="P5" s="123"/>
    </row>
    <row r="6" spans="1:16" x14ac:dyDescent="0.25">
      <c r="C6" s="43" t="s">
        <v>238</v>
      </c>
      <c r="D6" s="141">
        <v>1</v>
      </c>
      <c r="E6" s="141">
        <v>6.33</v>
      </c>
      <c r="F6" s="141">
        <v>6.33</v>
      </c>
      <c r="G6" s="141">
        <v>6.33</v>
      </c>
      <c r="H6" s="141">
        <v>6.33</v>
      </c>
      <c r="I6" s="123"/>
      <c r="J6" s="123"/>
      <c r="K6" s="123"/>
      <c r="L6" s="123"/>
      <c r="M6" s="123"/>
      <c r="N6" s="123"/>
      <c r="O6" s="123"/>
      <c r="P6" s="123"/>
    </row>
    <row r="7" spans="1:16" x14ac:dyDescent="0.25">
      <c r="B7" s="35" t="s">
        <v>16</v>
      </c>
      <c r="C7" s="43" t="s">
        <v>235</v>
      </c>
      <c r="D7" s="140">
        <v>1</v>
      </c>
      <c r="E7" s="140">
        <v>1</v>
      </c>
      <c r="F7" s="140">
        <v>1</v>
      </c>
      <c r="G7" s="140">
        <v>1</v>
      </c>
      <c r="H7" s="140">
        <v>1</v>
      </c>
      <c r="I7" s="123"/>
      <c r="J7" s="123"/>
      <c r="K7" s="123"/>
      <c r="L7" s="123"/>
      <c r="M7" s="123"/>
      <c r="N7" s="123"/>
      <c r="O7" s="123"/>
      <c r="P7" s="123"/>
    </row>
    <row r="8" spans="1:16" x14ac:dyDescent="0.25">
      <c r="C8" s="43" t="s">
        <v>236</v>
      </c>
      <c r="D8" s="141">
        <v>1</v>
      </c>
      <c r="E8" s="141">
        <v>1.55</v>
      </c>
      <c r="F8" s="141">
        <v>1.55</v>
      </c>
      <c r="G8" s="141">
        <v>1.55</v>
      </c>
      <c r="H8" s="141">
        <v>1.55</v>
      </c>
      <c r="I8" s="123"/>
      <c r="J8" s="123"/>
      <c r="K8" s="123"/>
      <c r="L8" s="123"/>
      <c r="M8" s="123"/>
      <c r="N8" s="123"/>
      <c r="O8" s="123"/>
      <c r="P8" s="123"/>
    </row>
    <row r="9" spans="1:16" x14ac:dyDescent="0.25">
      <c r="C9" s="43" t="s">
        <v>237</v>
      </c>
      <c r="D9" s="141">
        <v>1</v>
      </c>
      <c r="E9" s="141">
        <v>2.1800000000000002</v>
      </c>
      <c r="F9" s="141">
        <v>2.1800000000000002</v>
      </c>
      <c r="G9" s="141">
        <v>2.1800000000000002</v>
      </c>
      <c r="H9" s="141">
        <v>2.1800000000000002</v>
      </c>
      <c r="I9" s="123"/>
      <c r="J9" s="123"/>
      <c r="K9" s="123"/>
      <c r="L9" s="123"/>
      <c r="M9" s="123"/>
      <c r="N9" s="123"/>
      <c r="O9" s="123"/>
      <c r="P9" s="123"/>
    </row>
    <row r="10" spans="1:16" x14ac:dyDescent="0.25">
      <c r="C10" s="43" t="s">
        <v>238</v>
      </c>
      <c r="D10" s="141">
        <v>1</v>
      </c>
      <c r="E10" s="141">
        <v>6.39</v>
      </c>
      <c r="F10" s="141">
        <v>6.39</v>
      </c>
      <c r="G10" s="141">
        <v>6.39</v>
      </c>
      <c r="H10" s="141">
        <v>6.39</v>
      </c>
      <c r="I10" s="123"/>
      <c r="J10" s="123"/>
      <c r="K10" s="123"/>
      <c r="L10" s="123"/>
      <c r="M10" s="123"/>
      <c r="N10" s="123"/>
      <c r="O10" s="123"/>
      <c r="P10" s="123"/>
    </row>
    <row r="11" spans="1:16" x14ac:dyDescent="0.25">
      <c r="B11" s="35" t="s">
        <v>18</v>
      </c>
      <c r="C11" s="43" t="s">
        <v>235</v>
      </c>
      <c r="D11" s="140">
        <v>1</v>
      </c>
      <c r="E11" s="140">
        <v>1</v>
      </c>
      <c r="F11" s="140">
        <v>1</v>
      </c>
      <c r="G11" s="140">
        <v>1</v>
      </c>
      <c r="H11" s="140">
        <v>1</v>
      </c>
      <c r="I11" s="123"/>
      <c r="J11" s="123"/>
      <c r="K11" s="123"/>
      <c r="L11" s="123"/>
      <c r="M11" s="123"/>
      <c r="N11" s="123"/>
      <c r="O11" s="123"/>
      <c r="P11" s="123"/>
    </row>
    <row r="12" spans="1:16" x14ac:dyDescent="0.25">
      <c r="C12" s="43" t="s">
        <v>236</v>
      </c>
      <c r="D12" s="141">
        <v>1</v>
      </c>
      <c r="E12" s="141">
        <v>1</v>
      </c>
      <c r="F12" s="141">
        <v>1</v>
      </c>
      <c r="G12" s="141">
        <v>1</v>
      </c>
      <c r="H12" s="141">
        <v>1</v>
      </c>
      <c r="I12" s="123"/>
      <c r="J12" s="123"/>
      <c r="K12" s="123"/>
      <c r="L12" s="123"/>
      <c r="M12" s="123"/>
      <c r="N12" s="123"/>
      <c r="O12" s="123"/>
      <c r="P12" s="123"/>
    </row>
    <row r="13" spans="1:16" x14ac:dyDescent="0.25">
      <c r="C13" s="43" t="s">
        <v>237</v>
      </c>
      <c r="D13" s="141">
        <v>1</v>
      </c>
      <c r="E13" s="141">
        <v>2.79</v>
      </c>
      <c r="F13" s="141">
        <v>2.79</v>
      </c>
      <c r="G13" s="141">
        <v>2.79</v>
      </c>
      <c r="H13" s="141">
        <v>2.79</v>
      </c>
      <c r="I13" s="123"/>
      <c r="J13" s="123"/>
      <c r="K13" s="123"/>
      <c r="L13" s="123"/>
      <c r="M13" s="123"/>
      <c r="N13" s="123"/>
      <c r="O13" s="123"/>
      <c r="P13" s="123"/>
    </row>
    <row r="14" spans="1:16" x14ac:dyDescent="0.25">
      <c r="C14" s="43" t="s">
        <v>238</v>
      </c>
      <c r="D14" s="141">
        <v>1</v>
      </c>
      <c r="E14" s="141">
        <v>6.01</v>
      </c>
      <c r="F14" s="141">
        <v>6.01</v>
      </c>
      <c r="G14" s="141">
        <v>6.01</v>
      </c>
      <c r="H14" s="141">
        <v>6.01</v>
      </c>
      <c r="I14" s="123"/>
      <c r="J14" s="123"/>
      <c r="K14" s="123"/>
      <c r="L14" s="123"/>
      <c r="M14" s="123"/>
      <c r="N14" s="123"/>
      <c r="O14" s="123"/>
      <c r="P14" s="123"/>
    </row>
    <row r="15" spans="1:16" x14ac:dyDescent="0.25">
      <c r="B15" s="35" t="s">
        <v>19</v>
      </c>
      <c r="C15" s="43" t="s">
        <v>235</v>
      </c>
      <c r="D15" s="140">
        <v>1</v>
      </c>
      <c r="E15" s="140">
        <v>1</v>
      </c>
      <c r="F15" s="140">
        <v>1</v>
      </c>
      <c r="G15" s="140">
        <v>1</v>
      </c>
      <c r="H15" s="140">
        <v>1</v>
      </c>
      <c r="I15" s="123"/>
      <c r="J15" s="123"/>
      <c r="K15" s="123"/>
      <c r="L15" s="123"/>
      <c r="M15" s="123"/>
      <c r="N15" s="123"/>
      <c r="O15" s="123"/>
      <c r="P15" s="123"/>
    </row>
    <row r="16" spans="1:16" x14ac:dyDescent="0.25">
      <c r="C16" s="43" t="s">
        <v>236</v>
      </c>
      <c r="D16" s="141">
        <v>1</v>
      </c>
      <c r="E16" s="141">
        <v>1</v>
      </c>
      <c r="F16" s="141">
        <v>1</v>
      </c>
      <c r="G16" s="141">
        <v>1</v>
      </c>
      <c r="H16" s="141">
        <v>1</v>
      </c>
      <c r="I16" s="123"/>
      <c r="J16" s="123"/>
      <c r="K16" s="123"/>
      <c r="L16" s="123"/>
      <c r="M16" s="123"/>
      <c r="N16" s="123"/>
      <c r="O16" s="123"/>
      <c r="P16" s="123"/>
    </row>
    <row r="17" spans="1:16" x14ac:dyDescent="0.25">
      <c r="C17" s="43" t="s">
        <v>237</v>
      </c>
      <c r="D17" s="141">
        <v>1</v>
      </c>
      <c r="E17" s="141">
        <v>1</v>
      </c>
      <c r="F17" s="141">
        <v>1</v>
      </c>
      <c r="G17" s="141">
        <v>1</v>
      </c>
      <c r="H17" s="141">
        <v>1</v>
      </c>
      <c r="I17" s="123"/>
      <c r="J17" s="123"/>
      <c r="K17" s="123"/>
      <c r="L17" s="123"/>
      <c r="M17" s="123"/>
      <c r="N17" s="123"/>
      <c r="O17" s="123"/>
      <c r="P17" s="123"/>
    </row>
    <row r="18" spans="1:16" ht="13.9" customHeight="1" x14ac:dyDescent="0.25">
      <c r="C18" s="43" t="s">
        <v>238</v>
      </c>
      <c r="D18" s="141">
        <v>1</v>
      </c>
      <c r="E18" s="141">
        <v>1</v>
      </c>
      <c r="F18" s="141">
        <v>1</v>
      </c>
      <c r="G18" s="141">
        <v>1</v>
      </c>
      <c r="H18" s="141">
        <v>1</v>
      </c>
      <c r="I18" s="123"/>
      <c r="J18" s="123"/>
      <c r="K18" s="123"/>
      <c r="L18" s="123"/>
      <c r="M18" s="123"/>
      <c r="N18" s="123"/>
      <c r="O18" s="123"/>
      <c r="P18" s="123"/>
    </row>
    <row r="19" spans="1:16" x14ac:dyDescent="0.25">
      <c r="B19" s="36" t="s">
        <v>17</v>
      </c>
      <c r="C19" s="43" t="s">
        <v>235</v>
      </c>
      <c r="D19" s="140">
        <v>1</v>
      </c>
      <c r="E19" s="140">
        <v>1</v>
      </c>
      <c r="F19" s="140">
        <v>1</v>
      </c>
      <c r="G19" s="140">
        <v>1</v>
      </c>
      <c r="H19" s="140">
        <v>1</v>
      </c>
      <c r="I19" s="123"/>
      <c r="J19" s="123"/>
      <c r="K19" s="123"/>
      <c r="L19" s="123"/>
      <c r="M19" s="123"/>
      <c r="N19" s="123"/>
      <c r="O19" s="123"/>
      <c r="P19" s="123"/>
    </row>
    <row r="20" spans="1:16" x14ac:dyDescent="0.25">
      <c r="C20" s="43" t="s">
        <v>236</v>
      </c>
      <c r="D20" s="141">
        <v>1</v>
      </c>
      <c r="E20" s="141">
        <v>1</v>
      </c>
      <c r="F20" s="141">
        <v>1</v>
      </c>
      <c r="G20" s="141">
        <v>1</v>
      </c>
      <c r="H20" s="141">
        <v>1</v>
      </c>
      <c r="I20" s="123"/>
      <c r="J20" s="123"/>
      <c r="K20" s="123"/>
      <c r="L20" s="123"/>
      <c r="M20" s="123"/>
      <c r="N20" s="123"/>
      <c r="O20" s="123"/>
      <c r="P20" s="123"/>
    </row>
    <row r="21" spans="1:16" x14ac:dyDescent="0.25">
      <c r="C21" s="43" t="s">
        <v>237</v>
      </c>
      <c r="D21" s="141">
        <v>1</v>
      </c>
      <c r="E21" s="141">
        <v>1.86</v>
      </c>
      <c r="F21" s="141">
        <v>1.86</v>
      </c>
      <c r="G21" s="141">
        <v>1.86</v>
      </c>
      <c r="H21" s="141">
        <v>1.86</v>
      </c>
      <c r="I21" s="123"/>
      <c r="J21" s="123"/>
      <c r="K21" s="123"/>
      <c r="L21" s="123"/>
      <c r="M21" s="123"/>
      <c r="N21" s="123"/>
      <c r="O21" s="123"/>
      <c r="P21" s="123"/>
    </row>
    <row r="22" spans="1:16" x14ac:dyDescent="0.25">
      <c r="C22" s="43" t="s">
        <v>238</v>
      </c>
      <c r="D22" s="141">
        <v>1</v>
      </c>
      <c r="E22" s="141">
        <v>3.01</v>
      </c>
      <c r="F22" s="141">
        <v>3.01</v>
      </c>
      <c r="G22" s="141">
        <v>3.01</v>
      </c>
      <c r="H22" s="141">
        <v>3.01</v>
      </c>
      <c r="I22" s="123"/>
      <c r="J22" s="123"/>
      <c r="K22" s="123"/>
      <c r="L22" s="123"/>
      <c r="M22" s="123"/>
      <c r="N22" s="123"/>
      <c r="O22" s="123"/>
      <c r="P22" s="123"/>
    </row>
    <row r="23" spans="1:16" x14ac:dyDescent="0.25">
      <c r="B23" s="36" t="s">
        <v>23</v>
      </c>
      <c r="C23" s="43" t="s">
        <v>235</v>
      </c>
      <c r="D23" s="140">
        <v>1</v>
      </c>
      <c r="E23" s="140">
        <v>1</v>
      </c>
      <c r="F23" s="140">
        <v>1</v>
      </c>
      <c r="G23" s="140">
        <v>1</v>
      </c>
      <c r="H23" s="140">
        <v>1</v>
      </c>
      <c r="I23" s="123"/>
      <c r="J23" s="123"/>
      <c r="K23" s="123"/>
      <c r="L23" s="123"/>
      <c r="M23" s="123"/>
      <c r="N23" s="123"/>
      <c r="O23" s="123"/>
      <c r="P23" s="123"/>
    </row>
    <row r="24" spans="1:16" x14ac:dyDescent="0.25">
      <c r="C24" s="43" t="s">
        <v>236</v>
      </c>
      <c r="D24" s="141">
        <v>1</v>
      </c>
      <c r="E24" s="141">
        <v>1</v>
      </c>
      <c r="F24" s="141">
        <v>1</v>
      </c>
      <c r="G24" s="141">
        <v>1</v>
      </c>
      <c r="H24" s="141">
        <v>1</v>
      </c>
      <c r="I24" s="123"/>
      <c r="J24" s="123"/>
      <c r="K24" s="123"/>
      <c r="L24" s="123"/>
      <c r="M24" s="123"/>
      <c r="N24" s="123"/>
      <c r="O24" s="123"/>
      <c r="P24" s="123"/>
    </row>
    <row r="25" spans="1:16" x14ac:dyDescent="0.25">
      <c r="C25" s="43" t="s">
        <v>237</v>
      </c>
      <c r="D25" s="141">
        <v>1</v>
      </c>
      <c r="E25" s="141">
        <v>1.86</v>
      </c>
      <c r="F25" s="141">
        <v>1.86</v>
      </c>
      <c r="G25" s="141">
        <v>1.86</v>
      </c>
      <c r="H25" s="141">
        <v>1.86</v>
      </c>
      <c r="I25" s="123"/>
      <c r="J25" s="123"/>
      <c r="K25" s="123"/>
      <c r="L25" s="123"/>
      <c r="M25" s="123"/>
      <c r="N25" s="123"/>
      <c r="O25" s="123"/>
      <c r="P25" s="123"/>
    </row>
    <row r="26" spans="1:16" x14ac:dyDescent="0.25">
      <c r="C26" s="43" t="s">
        <v>238</v>
      </c>
      <c r="D26" s="141">
        <v>1</v>
      </c>
      <c r="E26" s="141">
        <v>3.01</v>
      </c>
      <c r="F26" s="141">
        <v>3.01</v>
      </c>
      <c r="G26" s="141">
        <v>3.01</v>
      </c>
      <c r="H26" s="141">
        <v>3.01</v>
      </c>
      <c r="I26" s="123"/>
      <c r="J26" s="123"/>
      <c r="K26" s="123"/>
      <c r="L26" s="123"/>
      <c r="M26" s="123"/>
      <c r="N26" s="123"/>
      <c r="O26" s="123"/>
      <c r="P26" s="123"/>
    </row>
    <row r="28" spans="1:16" s="105" customFormat="1" ht="13" x14ac:dyDescent="0.3">
      <c r="A28" s="104" t="s">
        <v>239</v>
      </c>
    </row>
    <row r="29" spans="1:16" s="36" customFormat="1" ht="13" x14ac:dyDescent="0.3">
      <c r="A29" s="126" t="s">
        <v>240</v>
      </c>
      <c r="B29" s="99" t="s">
        <v>233</v>
      </c>
      <c r="C29" s="99" t="s">
        <v>241</v>
      </c>
      <c r="D29" s="108" t="s">
        <v>1</v>
      </c>
      <c r="E29" s="108" t="s">
        <v>2</v>
      </c>
      <c r="F29" s="108" t="s">
        <v>3</v>
      </c>
      <c r="G29" s="108" t="s">
        <v>4</v>
      </c>
      <c r="H29" s="108" t="s">
        <v>5</v>
      </c>
      <c r="I29" s="125"/>
      <c r="J29" s="125"/>
      <c r="K29" s="125"/>
      <c r="L29" s="125"/>
      <c r="M29" s="125"/>
      <c r="N29" s="125"/>
      <c r="O29" s="125"/>
      <c r="P29" s="125"/>
    </row>
    <row r="30" spans="1:16" ht="13" x14ac:dyDescent="0.3">
      <c r="A30" s="40"/>
      <c r="B30" s="35" t="s">
        <v>71</v>
      </c>
      <c r="C30" s="43" t="s">
        <v>235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  <c r="I30" s="127"/>
      <c r="J30" s="123"/>
      <c r="K30" s="123"/>
      <c r="L30" s="123"/>
      <c r="M30" s="123"/>
      <c r="N30" s="123"/>
      <c r="O30" s="123"/>
      <c r="P30" s="123"/>
    </row>
    <row r="31" spans="1:16" x14ac:dyDescent="0.25">
      <c r="C31" s="43" t="s">
        <v>236</v>
      </c>
      <c r="D31" s="141">
        <v>1</v>
      </c>
      <c r="E31" s="141">
        <v>1.6</v>
      </c>
      <c r="F31" s="141">
        <v>1.6</v>
      </c>
      <c r="G31" s="141">
        <v>1.6</v>
      </c>
      <c r="H31" s="141">
        <v>1.6</v>
      </c>
      <c r="I31" s="123"/>
      <c r="J31" s="123"/>
      <c r="K31" s="123"/>
      <c r="L31" s="123"/>
      <c r="M31" s="123"/>
      <c r="N31" s="123"/>
      <c r="O31" s="123"/>
      <c r="P31" s="123"/>
    </row>
    <row r="32" spans="1:16" x14ac:dyDescent="0.25">
      <c r="C32" s="43" t="s">
        <v>65</v>
      </c>
      <c r="D32" s="141">
        <v>1</v>
      </c>
      <c r="E32" s="141">
        <v>3.41</v>
      </c>
      <c r="F32" s="141">
        <v>3.41</v>
      </c>
      <c r="G32" s="141">
        <v>3.41</v>
      </c>
      <c r="H32" s="141">
        <v>3.41</v>
      </c>
      <c r="I32" s="123"/>
      <c r="J32" s="123"/>
      <c r="K32" s="123"/>
      <c r="L32" s="123"/>
      <c r="M32" s="123"/>
      <c r="N32" s="123"/>
      <c r="O32" s="123"/>
      <c r="P32" s="123"/>
    </row>
    <row r="33" spans="2:16" x14ac:dyDescent="0.25">
      <c r="C33" s="43" t="s">
        <v>66</v>
      </c>
      <c r="D33" s="141">
        <v>1</v>
      </c>
      <c r="E33" s="141">
        <v>12.33</v>
      </c>
      <c r="F33" s="141">
        <v>12.33</v>
      </c>
      <c r="G33" s="141">
        <v>12.33</v>
      </c>
      <c r="H33" s="141">
        <v>12.33</v>
      </c>
      <c r="I33" s="123"/>
      <c r="J33" s="123"/>
      <c r="K33" s="123"/>
      <c r="L33" s="123"/>
      <c r="M33" s="123"/>
      <c r="N33" s="123"/>
      <c r="O33" s="123"/>
      <c r="P33" s="123"/>
    </row>
    <row r="34" spans="2:16" x14ac:dyDescent="0.25">
      <c r="B34" s="35" t="s">
        <v>16</v>
      </c>
      <c r="C34" s="43" t="s">
        <v>235</v>
      </c>
      <c r="D34" s="140">
        <v>1</v>
      </c>
      <c r="E34" s="140">
        <v>1</v>
      </c>
      <c r="F34" s="140">
        <v>1</v>
      </c>
      <c r="G34" s="140">
        <v>1</v>
      </c>
      <c r="H34" s="140">
        <v>1</v>
      </c>
      <c r="I34" s="123"/>
      <c r="J34" s="123"/>
      <c r="K34" s="123"/>
      <c r="L34" s="123"/>
      <c r="M34" s="123"/>
      <c r="N34" s="123"/>
      <c r="O34" s="123"/>
      <c r="P34" s="123"/>
    </row>
    <row r="35" spans="2:16" x14ac:dyDescent="0.25">
      <c r="C35" s="43" t="s">
        <v>236</v>
      </c>
      <c r="D35" s="141">
        <v>1</v>
      </c>
      <c r="E35" s="141">
        <v>1.92</v>
      </c>
      <c r="F35" s="141">
        <v>1.92</v>
      </c>
      <c r="G35" s="141">
        <v>1.92</v>
      </c>
      <c r="H35" s="141">
        <v>1.92</v>
      </c>
      <c r="I35" s="123"/>
      <c r="J35" s="123"/>
      <c r="K35" s="123"/>
      <c r="L35" s="123"/>
      <c r="M35" s="123"/>
      <c r="N35" s="123"/>
      <c r="O35" s="123"/>
      <c r="P35" s="123"/>
    </row>
    <row r="36" spans="2:16" x14ac:dyDescent="0.25">
      <c r="C36" s="43" t="s">
        <v>65</v>
      </c>
      <c r="D36" s="141">
        <v>1</v>
      </c>
      <c r="E36" s="141">
        <v>4.66</v>
      </c>
      <c r="F36" s="141">
        <v>4.66</v>
      </c>
      <c r="G36" s="141">
        <v>4.66</v>
      </c>
      <c r="H36" s="141">
        <v>4.66</v>
      </c>
      <c r="I36" s="123"/>
      <c r="J36" s="123"/>
      <c r="K36" s="123"/>
      <c r="L36" s="123"/>
      <c r="M36" s="123"/>
      <c r="N36" s="123"/>
      <c r="O36" s="123"/>
      <c r="P36" s="123"/>
    </row>
    <row r="37" spans="2:16" x14ac:dyDescent="0.25">
      <c r="C37" s="43" t="s">
        <v>66</v>
      </c>
      <c r="D37" s="141">
        <v>1</v>
      </c>
      <c r="E37" s="141">
        <v>9.68</v>
      </c>
      <c r="F37" s="141">
        <v>9.68</v>
      </c>
      <c r="G37" s="141">
        <v>9.68</v>
      </c>
      <c r="H37" s="141">
        <v>9.68</v>
      </c>
      <c r="I37" s="123"/>
      <c r="J37" s="123"/>
      <c r="K37" s="123"/>
      <c r="L37" s="123"/>
      <c r="M37" s="123"/>
      <c r="N37" s="123"/>
      <c r="O37" s="123"/>
      <c r="P37" s="123"/>
    </row>
    <row r="38" spans="2:16" x14ac:dyDescent="0.25">
      <c r="B38" s="35" t="s">
        <v>18</v>
      </c>
      <c r="C38" s="43" t="s">
        <v>235</v>
      </c>
      <c r="D38" s="140">
        <v>1</v>
      </c>
      <c r="E38" s="140">
        <v>1</v>
      </c>
      <c r="F38" s="140">
        <v>1</v>
      </c>
      <c r="G38" s="140">
        <v>1</v>
      </c>
      <c r="H38" s="140">
        <v>1</v>
      </c>
      <c r="I38" s="123"/>
      <c r="J38" s="123"/>
      <c r="K38" s="123"/>
      <c r="L38" s="123"/>
      <c r="M38" s="123"/>
      <c r="N38" s="123"/>
      <c r="O38" s="123"/>
      <c r="P38" s="123"/>
    </row>
    <row r="39" spans="2:16" x14ac:dyDescent="0.25">
      <c r="C39" s="43" t="s">
        <v>236</v>
      </c>
      <c r="D39" s="141">
        <v>1</v>
      </c>
      <c r="E39" s="141">
        <v>1</v>
      </c>
      <c r="F39" s="141">
        <v>1</v>
      </c>
      <c r="G39" s="141">
        <v>1</v>
      </c>
      <c r="H39" s="141">
        <v>1</v>
      </c>
      <c r="I39" s="123"/>
      <c r="J39" s="123"/>
      <c r="K39" s="123"/>
      <c r="L39" s="123"/>
      <c r="M39" s="123"/>
      <c r="N39" s="123"/>
      <c r="O39" s="123"/>
      <c r="P39" s="123"/>
    </row>
    <row r="40" spans="2:16" x14ac:dyDescent="0.25">
      <c r="C40" s="43" t="s">
        <v>65</v>
      </c>
      <c r="D40" s="141">
        <v>1</v>
      </c>
      <c r="E40" s="141">
        <v>2.58</v>
      </c>
      <c r="F40" s="141">
        <v>2.58</v>
      </c>
      <c r="G40" s="141">
        <v>2.58</v>
      </c>
      <c r="H40" s="141">
        <v>2.58</v>
      </c>
      <c r="I40" s="123"/>
      <c r="J40" s="123"/>
      <c r="K40" s="123"/>
      <c r="L40" s="123"/>
      <c r="M40" s="123"/>
      <c r="N40" s="123"/>
      <c r="O40" s="123"/>
      <c r="P40" s="123"/>
    </row>
    <row r="41" spans="2:16" x14ac:dyDescent="0.25">
      <c r="C41" s="43" t="s">
        <v>66</v>
      </c>
      <c r="D41" s="141">
        <v>1</v>
      </c>
      <c r="E41" s="141">
        <v>9.6300000000000008</v>
      </c>
      <c r="F41" s="141">
        <v>9.6300000000000008</v>
      </c>
      <c r="G41" s="141">
        <v>9.6300000000000008</v>
      </c>
      <c r="H41" s="141">
        <v>9.6300000000000008</v>
      </c>
      <c r="I41" s="123"/>
      <c r="J41" s="123"/>
      <c r="K41" s="123"/>
      <c r="L41" s="123"/>
      <c r="M41" s="123"/>
      <c r="N41" s="123"/>
      <c r="O41" s="123"/>
      <c r="P41" s="123"/>
    </row>
    <row r="42" spans="2:16" x14ac:dyDescent="0.25">
      <c r="B42" s="35" t="s">
        <v>19</v>
      </c>
      <c r="C42" s="43" t="s">
        <v>235</v>
      </c>
      <c r="D42" s="140">
        <v>1</v>
      </c>
      <c r="E42" s="140">
        <v>1</v>
      </c>
      <c r="F42" s="140">
        <v>1</v>
      </c>
      <c r="G42" s="140">
        <v>1</v>
      </c>
      <c r="H42" s="140">
        <v>1</v>
      </c>
      <c r="I42" s="123"/>
      <c r="J42" s="123"/>
      <c r="K42" s="123"/>
      <c r="L42" s="123"/>
      <c r="M42" s="123"/>
      <c r="N42" s="123"/>
      <c r="O42" s="123"/>
      <c r="P42" s="123"/>
    </row>
    <row r="43" spans="2:16" x14ac:dyDescent="0.25">
      <c r="C43" s="43" t="s">
        <v>236</v>
      </c>
      <c r="D43" s="141">
        <v>1</v>
      </c>
      <c r="E43" s="141">
        <v>1</v>
      </c>
      <c r="F43" s="141">
        <v>1</v>
      </c>
      <c r="G43" s="141">
        <v>1</v>
      </c>
      <c r="H43" s="141">
        <v>1</v>
      </c>
      <c r="I43" s="123"/>
      <c r="J43" s="123"/>
      <c r="K43" s="123"/>
      <c r="L43" s="123"/>
      <c r="M43" s="123"/>
      <c r="N43" s="123"/>
      <c r="O43" s="123"/>
      <c r="P43" s="123"/>
    </row>
    <row r="44" spans="2:16" x14ac:dyDescent="0.25">
      <c r="C44" s="43" t="s">
        <v>65</v>
      </c>
      <c r="D44" s="141">
        <v>1</v>
      </c>
      <c r="E44" s="141">
        <v>1</v>
      </c>
      <c r="F44" s="141">
        <v>1</v>
      </c>
      <c r="G44" s="141">
        <v>1</v>
      </c>
      <c r="H44" s="141">
        <v>1</v>
      </c>
      <c r="I44" s="123"/>
      <c r="J44" s="123"/>
      <c r="K44" s="123"/>
      <c r="L44" s="123"/>
      <c r="M44" s="123"/>
      <c r="N44" s="123"/>
      <c r="O44" s="123"/>
      <c r="P44" s="123"/>
    </row>
    <row r="45" spans="2:16" x14ac:dyDescent="0.25">
      <c r="C45" s="43" t="s">
        <v>66</v>
      </c>
      <c r="D45" s="141">
        <v>1</v>
      </c>
      <c r="E45" s="141">
        <v>1</v>
      </c>
      <c r="F45" s="141">
        <v>1</v>
      </c>
      <c r="G45" s="141">
        <v>1</v>
      </c>
      <c r="H45" s="141">
        <v>1</v>
      </c>
      <c r="I45" s="123"/>
      <c r="J45" s="123"/>
      <c r="K45" s="123"/>
      <c r="L45" s="123"/>
      <c r="M45" s="123"/>
      <c r="N45" s="123"/>
      <c r="O45" s="123"/>
      <c r="P45" s="123"/>
    </row>
    <row r="46" spans="2:16" x14ac:dyDescent="0.25">
      <c r="B46" s="35" t="s">
        <v>17</v>
      </c>
      <c r="C46" s="43" t="s">
        <v>235</v>
      </c>
      <c r="D46" s="140">
        <v>1</v>
      </c>
      <c r="E46" s="140">
        <v>1</v>
      </c>
      <c r="F46" s="140">
        <v>1</v>
      </c>
      <c r="G46" s="140">
        <v>1</v>
      </c>
      <c r="H46" s="140">
        <v>1</v>
      </c>
      <c r="I46" s="123"/>
      <c r="J46" s="123"/>
      <c r="K46" s="123"/>
      <c r="L46" s="123"/>
      <c r="M46" s="123"/>
      <c r="N46" s="123"/>
      <c r="O46" s="123"/>
      <c r="P46" s="123"/>
    </row>
    <row r="47" spans="2:16" x14ac:dyDescent="0.25">
      <c r="C47" s="43" t="s">
        <v>236</v>
      </c>
      <c r="D47" s="141">
        <v>1</v>
      </c>
      <c r="E47" s="141">
        <v>1.65</v>
      </c>
      <c r="F47" s="141">
        <v>1.65</v>
      </c>
      <c r="G47" s="141">
        <v>1.65</v>
      </c>
      <c r="H47" s="141">
        <v>1.65</v>
      </c>
      <c r="I47" s="123"/>
      <c r="J47" s="123"/>
      <c r="K47" s="123"/>
      <c r="L47" s="123"/>
      <c r="M47" s="123"/>
      <c r="N47" s="123"/>
      <c r="O47" s="123"/>
      <c r="P47" s="123"/>
    </row>
    <row r="48" spans="2:16" x14ac:dyDescent="0.25">
      <c r="C48" s="43" t="s">
        <v>65</v>
      </c>
      <c r="D48" s="141">
        <v>1</v>
      </c>
      <c r="E48" s="141">
        <v>2.73</v>
      </c>
      <c r="F48" s="141">
        <v>2.73</v>
      </c>
      <c r="G48" s="141">
        <v>2.73</v>
      </c>
      <c r="H48" s="141">
        <v>2.73</v>
      </c>
      <c r="I48" s="123"/>
      <c r="J48" s="123"/>
      <c r="K48" s="123"/>
      <c r="L48" s="123"/>
      <c r="M48" s="123"/>
      <c r="N48" s="123"/>
      <c r="O48" s="123"/>
      <c r="P48" s="123"/>
    </row>
    <row r="49" spans="1:16" x14ac:dyDescent="0.25">
      <c r="C49" s="43" t="s">
        <v>66</v>
      </c>
      <c r="D49" s="141">
        <v>1</v>
      </c>
      <c r="E49" s="141">
        <v>11.21</v>
      </c>
      <c r="F49" s="141">
        <v>11.21</v>
      </c>
      <c r="G49" s="141">
        <v>11.21</v>
      </c>
      <c r="H49" s="141">
        <v>11.21</v>
      </c>
      <c r="I49" s="123"/>
      <c r="J49" s="123"/>
      <c r="K49" s="123"/>
      <c r="L49" s="123"/>
      <c r="M49" s="123"/>
      <c r="N49" s="123"/>
      <c r="O49" s="123"/>
      <c r="P49" s="123"/>
    </row>
    <row r="50" spans="1:16" x14ac:dyDescent="0.25">
      <c r="B50" s="35" t="s">
        <v>23</v>
      </c>
      <c r="C50" s="43" t="s">
        <v>235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  <c r="I50" s="123"/>
      <c r="J50" s="123"/>
      <c r="K50" s="123"/>
      <c r="L50" s="123"/>
      <c r="M50" s="123"/>
      <c r="N50" s="123"/>
      <c r="O50" s="123"/>
      <c r="P50" s="123"/>
    </row>
    <row r="51" spans="1:16" x14ac:dyDescent="0.25">
      <c r="C51" s="43" t="s">
        <v>236</v>
      </c>
      <c r="D51" s="141">
        <v>1</v>
      </c>
      <c r="E51" s="141">
        <v>1.65</v>
      </c>
      <c r="F51" s="141">
        <v>1.65</v>
      </c>
      <c r="G51" s="141">
        <v>1.65</v>
      </c>
      <c r="H51" s="141">
        <v>1.65</v>
      </c>
      <c r="I51" s="123"/>
      <c r="J51" s="123"/>
      <c r="K51" s="123"/>
      <c r="L51" s="123"/>
      <c r="M51" s="123"/>
      <c r="N51" s="123"/>
      <c r="O51" s="123"/>
      <c r="P51" s="123"/>
    </row>
    <row r="52" spans="1:16" x14ac:dyDescent="0.25">
      <c r="C52" s="43" t="s">
        <v>65</v>
      </c>
      <c r="D52" s="141">
        <v>1</v>
      </c>
      <c r="E52" s="141">
        <v>2.73</v>
      </c>
      <c r="F52" s="141">
        <v>2.73</v>
      </c>
      <c r="G52" s="141">
        <v>2.73</v>
      </c>
      <c r="H52" s="141">
        <v>2.73</v>
      </c>
      <c r="I52" s="123"/>
      <c r="J52" s="123"/>
      <c r="K52" s="123"/>
      <c r="L52" s="123"/>
      <c r="M52" s="123"/>
      <c r="N52" s="123"/>
      <c r="O52" s="123"/>
      <c r="P52" s="123"/>
    </row>
    <row r="53" spans="1:16" x14ac:dyDescent="0.25">
      <c r="C53" s="43" t="s">
        <v>66</v>
      </c>
      <c r="D53" s="141">
        <v>1</v>
      </c>
      <c r="E53" s="141">
        <v>11.21</v>
      </c>
      <c r="F53" s="141">
        <v>11.21</v>
      </c>
      <c r="G53" s="141">
        <v>11.21</v>
      </c>
      <c r="H53" s="141">
        <v>11.21</v>
      </c>
      <c r="I53" s="123"/>
      <c r="J53" s="123"/>
      <c r="K53" s="123"/>
      <c r="L53" s="123"/>
      <c r="M53" s="123"/>
      <c r="N53" s="123"/>
      <c r="O53" s="123"/>
      <c r="P53" s="123"/>
    </row>
    <row r="54" spans="1:16" x14ac:dyDescent="0.25">
      <c r="C54" s="43"/>
      <c r="D54" s="43"/>
    </row>
    <row r="55" spans="1:16" s="105" customFormat="1" ht="13" x14ac:dyDescent="0.3">
      <c r="A55" s="104" t="s">
        <v>242</v>
      </c>
    </row>
    <row r="56" spans="1:16" s="36" customFormat="1" ht="26" x14ac:dyDescent="0.3">
      <c r="A56" s="126" t="s">
        <v>70</v>
      </c>
      <c r="B56" s="99" t="s">
        <v>233</v>
      </c>
      <c r="C56" s="128" t="s">
        <v>243</v>
      </c>
      <c r="D56" s="108" t="s">
        <v>53</v>
      </c>
      <c r="E56" s="108" t="s">
        <v>54</v>
      </c>
      <c r="F56" s="108" t="s">
        <v>55</v>
      </c>
      <c r="G56" s="108" t="s">
        <v>56</v>
      </c>
      <c r="H56" s="125"/>
      <c r="M56" s="125"/>
      <c r="N56" s="125"/>
      <c r="O56" s="125"/>
      <c r="P56" s="125"/>
    </row>
    <row r="57" spans="1:16" ht="13" x14ac:dyDescent="0.3">
      <c r="A57" s="40"/>
      <c r="B57" s="35" t="s">
        <v>38</v>
      </c>
      <c r="C57" s="43" t="s">
        <v>244</v>
      </c>
      <c r="D57" s="140">
        <v>1</v>
      </c>
      <c r="E57" s="140">
        <v>1</v>
      </c>
      <c r="F57" s="140">
        <v>1</v>
      </c>
      <c r="G57" s="140">
        <v>1</v>
      </c>
      <c r="H57" s="123"/>
      <c r="M57" s="123"/>
      <c r="N57" s="123"/>
      <c r="O57" s="123"/>
      <c r="P57" s="123"/>
    </row>
    <row r="58" spans="1:16" x14ac:dyDescent="0.25">
      <c r="C58" s="43" t="s">
        <v>245</v>
      </c>
      <c r="D58" s="141">
        <v>10.675000000000001</v>
      </c>
      <c r="E58" s="141">
        <v>10.675000000000001</v>
      </c>
      <c r="F58" s="141">
        <v>10.675000000000001</v>
      </c>
      <c r="G58" s="141">
        <v>10.675000000000001</v>
      </c>
      <c r="H58" s="123"/>
      <c r="M58" s="123"/>
      <c r="N58" s="123"/>
      <c r="O58" s="123"/>
      <c r="P58" s="123"/>
    </row>
    <row r="59" spans="1:16" x14ac:dyDescent="0.25">
      <c r="B59" s="35" t="s">
        <v>39</v>
      </c>
      <c r="C59" s="43" t="s">
        <v>244</v>
      </c>
      <c r="D59" s="140">
        <v>1</v>
      </c>
      <c r="E59" s="140">
        <v>1</v>
      </c>
      <c r="F59" s="140">
        <v>1</v>
      </c>
      <c r="G59" s="140">
        <v>1</v>
      </c>
      <c r="H59" s="123"/>
      <c r="M59" s="123"/>
      <c r="N59" s="123"/>
      <c r="O59" s="123"/>
      <c r="P59" s="123"/>
    </row>
    <row r="60" spans="1:16" x14ac:dyDescent="0.25">
      <c r="C60" s="43" t="s">
        <v>245</v>
      </c>
      <c r="D60" s="141">
        <v>10.675000000000001</v>
      </c>
      <c r="E60" s="141">
        <v>10.675000000000001</v>
      </c>
      <c r="F60" s="141">
        <v>10.675000000000001</v>
      </c>
      <c r="G60" s="141">
        <v>10.675000000000001</v>
      </c>
      <c r="H60" s="123"/>
      <c r="M60" s="123"/>
      <c r="N60" s="123"/>
      <c r="O60" s="123"/>
      <c r="P60" s="123"/>
    </row>
    <row r="61" spans="1:16" x14ac:dyDescent="0.25">
      <c r="B61" s="35" t="s">
        <v>40</v>
      </c>
      <c r="C61" s="43" t="s">
        <v>244</v>
      </c>
      <c r="D61" s="140">
        <v>1</v>
      </c>
      <c r="E61" s="140">
        <v>1</v>
      </c>
      <c r="F61" s="140">
        <v>1</v>
      </c>
      <c r="G61" s="140">
        <v>1</v>
      </c>
      <c r="H61" s="123"/>
      <c r="M61" s="123"/>
      <c r="N61" s="123"/>
      <c r="O61" s="123"/>
      <c r="P61" s="123"/>
    </row>
    <row r="62" spans="1:16" x14ac:dyDescent="0.25">
      <c r="C62" s="43" t="s">
        <v>245</v>
      </c>
      <c r="D62" s="141">
        <v>10.675000000000001</v>
      </c>
      <c r="E62" s="141">
        <v>10.675000000000001</v>
      </c>
      <c r="F62" s="141">
        <v>10.675000000000001</v>
      </c>
      <c r="G62" s="141">
        <v>10.675000000000001</v>
      </c>
      <c r="H62" s="123"/>
      <c r="M62" s="123"/>
      <c r="N62" s="123"/>
      <c r="O62" s="123"/>
      <c r="P62" s="123"/>
    </row>
    <row r="63" spans="1:16" x14ac:dyDescent="0.25">
      <c r="C63" s="43"/>
      <c r="D63" s="43"/>
    </row>
    <row r="64" spans="1:16" s="105" customFormat="1" ht="13" x14ac:dyDescent="0.3">
      <c r="A64" s="104" t="s">
        <v>246</v>
      </c>
    </row>
    <row r="65" spans="1:16" s="36" customFormat="1" ht="26" x14ac:dyDescent="0.3">
      <c r="A65" s="126" t="s">
        <v>24</v>
      </c>
      <c r="B65" s="99" t="s">
        <v>233</v>
      </c>
      <c r="C65" s="128" t="s">
        <v>247</v>
      </c>
      <c r="D65" s="108" t="s">
        <v>1</v>
      </c>
      <c r="E65" s="108" t="s">
        <v>2</v>
      </c>
      <c r="F65" s="108" t="s">
        <v>3</v>
      </c>
      <c r="G65" s="108" t="s">
        <v>4</v>
      </c>
      <c r="H65" s="129" t="s">
        <v>5</v>
      </c>
      <c r="I65" s="125"/>
      <c r="J65" s="125"/>
      <c r="K65" s="125"/>
      <c r="L65" s="125"/>
      <c r="M65" s="125"/>
      <c r="N65" s="125"/>
      <c r="O65" s="125"/>
      <c r="P65" s="125"/>
    </row>
    <row r="66" spans="1:16" ht="13" x14ac:dyDescent="0.3">
      <c r="A66" s="130"/>
      <c r="B66" s="35" t="s">
        <v>73</v>
      </c>
      <c r="C66" s="43" t="s">
        <v>166</v>
      </c>
      <c r="D66" s="140">
        <v>1</v>
      </c>
      <c r="E66" s="140">
        <v>1</v>
      </c>
      <c r="F66" s="140">
        <v>1</v>
      </c>
      <c r="G66" s="140">
        <v>1</v>
      </c>
      <c r="H66" s="123">
        <v>1</v>
      </c>
      <c r="I66" s="123"/>
      <c r="J66" s="123"/>
      <c r="K66" s="123"/>
      <c r="L66" s="123"/>
      <c r="M66" s="123"/>
      <c r="N66" s="123"/>
      <c r="O66" s="123"/>
      <c r="P66" s="123"/>
    </row>
    <row r="67" spans="1:16" x14ac:dyDescent="0.25">
      <c r="C67" s="43" t="s">
        <v>167</v>
      </c>
      <c r="D67" s="141">
        <v>1.35</v>
      </c>
      <c r="E67" s="141">
        <v>1</v>
      </c>
      <c r="F67" s="141">
        <v>1</v>
      </c>
      <c r="G67" s="141">
        <v>1</v>
      </c>
      <c r="H67" s="123">
        <v>1</v>
      </c>
      <c r="I67" s="123"/>
      <c r="J67" s="123"/>
      <c r="K67" s="123"/>
      <c r="L67" s="123"/>
      <c r="M67" s="123"/>
      <c r="N67" s="123"/>
      <c r="O67" s="123"/>
      <c r="P67" s="123"/>
    </row>
    <row r="68" spans="1:16" x14ac:dyDescent="0.25">
      <c r="C68" s="43" t="s">
        <v>168</v>
      </c>
      <c r="D68" s="141">
        <v>1.35</v>
      </c>
      <c r="E68" s="141">
        <v>1</v>
      </c>
      <c r="F68" s="141">
        <v>1</v>
      </c>
      <c r="G68" s="141">
        <v>1</v>
      </c>
      <c r="H68" s="123">
        <v>1</v>
      </c>
      <c r="I68" s="123"/>
      <c r="J68" s="123"/>
      <c r="K68" s="123"/>
      <c r="L68" s="123"/>
      <c r="M68" s="123"/>
      <c r="N68" s="123"/>
      <c r="O68" s="123"/>
      <c r="P68" s="123"/>
    </row>
    <row r="69" spans="1:16" x14ac:dyDescent="0.25">
      <c r="C69" s="43" t="s">
        <v>169</v>
      </c>
      <c r="D69" s="141">
        <v>5.4</v>
      </c>
      <c r="E69" s="141">
        <v>1</v>
      </c>
      <c r="F69" s="141">
        <v>1</v>
      </c>
      <c r="G69" s="141">
        <v>1</v>
      </c>
      <c r="H69" s="123">
        <v>1</v>
      </c>
      <c r="I69" s="123"/>
      <c r="J69" s="123"/>
      <c r="K69" s="123"/>
      <c r="L69" s="123"/>
      <c r="M69" s="123"/>
      <c r="N69" s="123"/>
      <c r="O69" s="123"/>
      <c r="P69" s="123"/>
    </row>
    <row r="70" spans="1:16" x14ac:dyDescent="0.25">
      <c r="B70" s="35" t="s">
        <v>7</v>
      </c>
      <c r="C70" s="43" t="s">
        <v>166</v>
      </c>
      <c r="D70" s="140">
        <v>1</v>
      </c>
      <c r="E70" s="140">
        <v>1</v>
      </c>
      <c r="F70" s="140">
        <v>1</v>
      </c>
      <c r="G70" s="140">
        <v>1</v>
      </c>
      <c r="H70" s="123">
        <v>1</v>
      </c>
      <c r="I70" s="123"/>
      <c r="J70" s="123"/>
      <c r="K70" s="123"/>
      <c r="L70" s="123"/>
      <c r="M70" s="123"/>
      <c r="N70" s="123"/>
      <c r="O70" s="123"/>
      <c r="P70" s="123"/>
    </row>
    <row r="71" spans="1:16" x14ac:dyDescent="0.25">
      <c r="C71" s="43" t="s">
        <v>167</v>
      </c>
      <c r="D71" s="141">
        <v>1.35</v>
      </c>
      <c r="E71" s="141">
        <v>1</v>
      </c>
      <c r="F71" s="141">
        <v>1</v>
      </c>
      <c r="G71" s="141">
        <v>1</v>
      </c>
      <c r="H71" s="123">
        <v>1</v>
      </c>
      <c r="I71" s="123"/>
      <c r="J71" s="123"/>
      <c r="K71" s="123"/>
      <c r="L71" s="123"/>
      <c r="M71" s="123"/>
      <c r="N71" s="123"/>
      <c r="O71" s="123"/>
      <c r="P71" s="123"/>
    </row>
    <row r="72" spans="1:16" x14ac:dyDescent="0.25">
      <c r="C72" s="43" t="s">
        <v>168</v>
      </c>
      <c r="D72" s="141">
        <v>1.35</v>
      </c>
      <c r="E72" s="141">
        <v>1</v>
      </c>
      <c r="F72" s="141">
        <v>1</v>
      </c>
      <c r="G72" s="141">
        <v>1</v>
      </c>
      <c r="H72" s="123">
        <v>1</v>
      </c>
      <c r="I72" s="123"/>
      <c r="J72" s="123"/>
      <c r="K72" s="123"/>
      <c r="L72" s="123"/>
      <c r="M72" s="123"/>
      <c r="N72" s="123"/>
      <c r="O72" s="123"/>
      <c r="P72" s="123"/>
    </row>
    <row r="73" spans="1:16" x14ac:dyDescent="0.25">
      <c r="C73" s="43" t="s">
        <v>169</v>
      </c>
      <c r="D73" s="141">
        <v>5.4</v>
      </c>
      <c r="E73" s="141">
        <v>1</v>
      </c>
      <c r="F73" s="141">
        <v>1</v>
      </c>
      <c r="G73" s="141">
        <v>1</v>
      </c>
      <c r="H73" s="123">
        <v>1</v>
      </c>
      <c r="I73" s="123"/>
      <c r="J73" s="123"/>
      <c r="K73" s="123"/>
      <c r="L73" s="123"/>
      <c r="M73" s="123"/>
      <c r="N73" s="123"/>
      <c r="O73" s="123"/>
      <c r="P73" s="123"/>
    </row>
    <row r="74" spans="1:16" x14ac:dyDescent="0.25">
      <c r="B74" s="35" t="s">
        <v>8</v>
      </c>
      <c r="C74" s="43" t="s">
        <v>166</v>
      </c>
      <c r="D74" s="140">
        <v>1</v>
      </c>
      <c r="E74" s="140">
        <v>1</v>
      </c>
      <c r="F74" s="140">
        <v>1</v>
      </c>
      <c r="G74" s="140">
        <v>1</v>
      </c>
      <c r="H74" s="123">
        <v>1</v>
      </c>
      <c r="I74" s="123"/>
      <c r="J74" s="123"/>
      <c r="K74" s="123"/>
      <c r="L74" s="123"/>
      <c r="M74" s="123"/>
      <c r="N74" s="123"/>
      <c r="O74" s="123"/>
      <c r="P74" s="123"/>
    </row>
    <row r="75" spans="1:16" x14ac:dyDescent="0.25">
      <c r="C75" s="43" t="s">
        <v>167</v>
      </c>
      <c r="D75" s="141">
        <v>1.35</v>
      </c>
      <c r="E75" s="141">
        <v>1</v>
      </c>
      <c r="F75" s="141">
        <v>1</v>
      </c>
      <c r="G75" s="141">
        <v>1</v>
      </c>
      <c r="H75" s="123">
        <v>1</v>
      </c>
      <c r="I75" s="123"/>
      <c r="J75" s="123"/>
      <c r="K75" s="123"/>
      <c r="L75" s="123"/>
      <c r="M75" s="123"/>
      <c r="N75" s="123"/>
      <c r="O75" s="123"/>
      <c r="P75" s="123"/>
    </row>
    <row r="76" spans="1:16" x14ac:dyDescent="0.25">
      <c r="C76" s="43" t="s">
        <v>168</v>
      </c>
      <c r="D76" s="141">
        <v>1.35</v>
      </c>
      <c r="E76" s="141">
        <v>1</v>
      </c>
      <c r="F76" s="141">
        <v>1</v>
      </c>
      <c r="G76" s="141">
        <v>1</v>
      </c>
      <c r="H76" s="123">
        <v>1</v>
      </c>
      <c r="I76" s="123"/>
      <c r="J76" s="123"/>
      <c r="K76" s="123"/>
      <c r="L76" s="123"/>
      <c r="M76" s="123"/>
      <c r="N76" s="123"/>
      <c r="O76" s="123"/>
      <c r="P76" s="123"/>
    </row>
    <row r="77" spans="1:16" x14ac:dyDescent="0.25">
      <c r="C77" s="43" t="s">
        <v>169</v>
      </c>
      <c r="D77" s="141">
        <v>5.4</v>
      </c>
      <c r="E77" s="141">
        <v>1</v>
      </c>
      <c r="F77" s="141">
        <v>1</v>
      </c>
      <c r="G77" s="141">
        <v>1</v>
      </c>
      <c r="H77" s="123">
        <v>1</v>
      </c>
      <c r="I77" s="123"/>
      <c r="J77" s="123"/>
      <c r="K77" s="123"/>
      <c r="L77" s="123"/>
      <c r="M77" s="123"/>
      <c r="N77" s="123"/>
      <c r="O77" s="123"/>
      <c r="P77" s="123"/>
    </row>
    <row r="78" spans="1:16" x14ac:dyDescent="0.25">
      <c r="B78" s="35" t="s">
        <v>13</v>
      </c>
      <c r="C78" s="43" t="s">
        <v>166</v>
      </c>
      <c r="D78" s="140">
        <v>1</v>
      </c>
      <c r="E78" s="140">
        <v>1</v>
      </c>
      <c r="F78" s="140">
        <v>1</v>
      </c>
      <c r="G78" s="140">
        <v>1</v>
      </c>
      <c r="H78" s="123">
        <v>1</v>
      </c>
      <c r="I78" s="123"/>
      <c r="J78" s="123"/>
      <c r="K78" s="123"/>
      <c r="L78" s="123"/>
      <c r="M78" s="123"/>
      <c r="N78" s="123"/>
      <c r="O78" s="123"/>
      <c r="P78" s="123"/>
    </row>
    <row r="79" spans="1:16" x14ac:dyDescent="0.25">
      <c r="C79" s="43" t="s">
        <v>167</v>
      </c>
      <c r="D79" s="141">
        <v>1</v>
      </c>
      <c r="E79" s="141">
        <v>1</v>
      </c>
      <c r="F79" s="141">
        <v>1</v>
      </c>
      <c r="G79" s="141">
        <v>1</v>
      </c>
      <c r="H79" s="123">
        <v>1</v>
      </c>
      <c r="I79" s="123"/>
      <c r="J79" s="123"/>
      <c r="K79" s="123"/>
      <c r="L79" s="123"/>
      <c r="M79" s="123"/>
      <c r="N79" s="123"/>
      <c r="O79" s="123"/>
      <c r="P79" s="123"/>
    </row>
    <row r="80" spans="1:16" x14ac:dyDescent="0.25">
      <c r="C80" s="43" t="s">
        <v>168</v>
      </c>
      <c r="D80" s="141">
        <v>1</v>
      </c>
      <c r="E80" s="141">
        <v>1</v>
      </c>
      <c r="F80" s="141">
        <v>1</v>
      </c>
      <c r="G80" s="141">
        <v>1</v>
      </c>
      <c r="H80" s="123">
        <v>1</v>
      </c>
      <c r="I80" s="123"/>
      <c r="J80" s="123"/>
      <c r="K80" s="123"/>
      <c r="L80" s="123"/>
      <c r="M80" s="123"/>
      <c r="N80" s="123"/>
      <c r="O80" s="123"/>
      <c r="P80" s="123"/>
    </row>
    <row r="81" spans="2:16" x14ac:dyDescent="0.25">
      <c r="C81" s="43" t="s">
        <v>169</v>
      </c>
      <c r="D81" s="141">
        <v>1</v>
      </c>
      <c r="E81" s="141">
        <v>1</v>
      </c>
      <c r="F81" s="141">
        <v>1</v>
      </c>
      <c r="G81" s="141">
        <v>1</v>
      </c>
      <c r="H81" s="123">
        <v>1</v>
      </c>
      <c r="I81" s="123"/>
      <c r="J81" s="123"/>
      <c r="K81" s="123"/>
      <c r="L81" s="123"/>
      <c r="M81" s="123"/>
      <c r="N81" s="123"/>
      <c r="O81" s="123"/>
      <c r="P81" s="123"/>
    </row>
    <row r="82" spans="2:16" x14ac:dyDescent="0.25">
      <c r="B82" s="35" t="s">
        <v>71</v>
      </c>
      <c r="C82" s="43" t="s">
        <v>166</v>
      </c>
      <c r="D82" s="140">
        <v>1</v>
      </c>
      <c r="E82" s="140">
        <v>1</v>
      </c>
      <c r="F82" s="140">
        <v>1</v>
      </c>
      <c r="G82" s="140">
        <v>1</v>
      </c>
      <c r="H82" s="123">
        <v>1</v>
      </c>
      <c r="I82" s="123"/>
      <c r="J82" s="123"/>
      <c r="K82" s="123"/>
      <c r="L82" s="123"/>
      <c r="M82" s="123"/>
      <c r="N82" s="123"/>
      <c r="O82" s="123"/>
      <c r="P82" s="123"/>
    </row>
    <row r="83" spans="2:16" x14ac:dyDescent="0.25">
      <c r="C83" s="43" t="s">
        <v>167</v>
      </c>
      <c r="D83" s="141">
        <v>1</v>
      </c>
      <c r="E83" s="141">
        <v>2.2799999999999998</v>
      </c>
      <c r="F83" s="141">
        <v>1</v>
      </c>
      <c r="G83" s="141">
        <v>1</v>
      </c>
      <c r="H83" s="123">
        <v>1</v>
      </c>
      <c r="I83" s="123"/>
      <c r="J83" s="123"/>
      <c r="K83" s="123"/>
      <c r="L83" s="123"/>
      <c r="M83" s="123"/>
      <c r="N83" s="123"/>
      <c r="O83" s="123"/>
      <c r="P83" s="123"/>
    </row>
    <row r="84" spans="2:16" x14ac:dyDescent="0.25">
      <c r="C84" s="43" t="s">
        <v>168</v>
      </c>
      <c r="D84" s="141">
        <v>1</v>
      </c>
      <c r="E84" s="141">
        <v>4.62</v>
      </c>
      <c r="F84" s="141">
        <v>1</v>
      </c>
      <c r="G84" s="141">
        <v>1</v>
      </c>
      <c r="H84" s="123">
        <v>1</v>
      </c>
      <c r="I84" s="123"/>
      <c r="J84" s="123"/>
      <c r="K84" s="123"/>
      <c r="L84" s="123"/>
      <c r="M84" s="123"/>
      <c r="N84" s="123"/>
      <c r="O84" s="123"/>
      <c r="P84" s="123"/>
    </row>
    <row r="85" spans="2:16" x14ac:dyDescent="0.25">
      <c r="C85" s="43" t="s">
        <v>169</v>
      </c>
      <c r="D85" s="141">
        <v>1</v>
      </c>
      <c r="E85" s="141">
        <v>10.53</v>
      </c>
      <c r="F85" s="141">
        <v>1.47</v>
      </c>
      <c r="G85" s="141">
        <v>2.57</v>
      </c>
      <c r="H85" s="123">
        <v>1</v>
      </c>
      <c r="I85" s="123"/>
      <c r="J85" s="123"/>
      <c r="K85" s="123"/>
      <c r="L85" s="123"/>
      <c r="M85" s="123"/>
      <c r="N85" s="123"/>
      <c r="O85" s="123"/>
      <c r="P85" s="123"/>
    </row>
    <row r="86" spans="2:16" x14ac:dyDescent="0.25">
      <c r="B86" s="35" t="s">
        <v>16</v>
      </c>
      <c r="C86" s="43" t="s">
        <v>166</v>
      </c>
      <c r="D86" s="140">
        <v>1</v>
      </c>
      <c r="E86" s="140">
        <v>1</v>
      </c>
      <c r="F86" s="140">
        <v>1</v>
      </c>
      <c r="G86" s="140">
        <v>1</v>
      </c>
      <c r="H86" s="123">
        <v>1</v>
      </c>
      <c r="I86" s="123"/>
      <c r="J86" s="123"/>
      <c r="K86" s="123"/>
      <c r="L86" s="123"/>
      <c r="M86" s="123"/>
      <c r="N86" s="123"/>
      <c r="O86" s="123"/>
      <c r="P86" s="123"/>
    </row>
    <row r="87" spans="2:16" x14ac:dyDescent="0.25">
      <c r="C87" s="43" t="s">
        <v>167</v>
      </c>
      <c r="D87" s="141">
        <v>1</v>
      </c>
      <c r="E87" s="141">
        <v>1.66</v>
      </c>
      <c r="F87" s="141">
        <v>1</v>
      </c>
      <c r="G87" s="141">
        <v>1</v>
      </c>
      <c r="H87" s="123">
        <v>1</v>
      </c>
      <c r="I87" s="123"/>
      <c r="J87" s="123"/>
      <c r="K87" s="123"/>
      <c r="L87" s="123"/>
      <c r="M87" s="123"/>
      <c r="N87" s="123"/>
      <c r="O87" s="123"/>
      <c r="P87" s="123"/>
    </row>
    <row r="88" spans="2:16" x14ac:dyDescent="0.25">
      <c r="C88" s="43" t="s">
        <v>168</v>
      </c>
      <c r="D88" s="141">
        <v>1</v>
      </c>
      <c r="E88" s="141">
        <v>2.5</v>
      </c>
      <c r="F88" s="141">
        <v>1</v>
      </c>
      <c r="G88" s="141">
        <v>1</v>
      </c>
      <c r="H88" s="123">
        <v>1</v>
      </c>
      <c r="I88" s="123"/>
      <c r="J88" s="123"/>
      <c r="K88" s="123"/>
      <c r="L88" s="123"/>
      <c r="M88" s="123"/>
      <c r="N88" s="123"/>
      <c r="O88" s="123"/>
      <c r="P88" s="123"/>
    </row>
    <row r="89" spans="2:16" x14ac:dyDescent="0.25">
      <c r="C89" s="43" t="s">
        <v>169</v>
      </c>
      <c r="D89" s="141">
        <v>1</v>
      </c>
      <c r="E89" s="141">
        <v>14.97</v>
      </c>
      <c r="F89" s="141">
        <v>1.92</v>
      </c>
      <c r="G89" s="141">
        <v>1.92</v>
      </c>
      <c r="H89" s="123">
        <v>1</v>
      </c>
      <c r="I89" s="123"/>
      <c r="J89" s="123"/>
      <c r="K89" s="123"/>
      <c r="L89" s="123"/>
      <c r="M89" s="123"/>
      <c r="N89" s="123"/>
      <c r="O89" s="123"/>
      <c r="P89" s="123"/>
    </row>
    <row r="90" spans="2:16" x14ac:dyDescent="0.25">
      <c r="B90" s="35" t="s">
        <v>18</v>
      </c>
      <c r="C90" s="43" t="s">
        <v>166</v>
      </c>
      <c r="D90" s="140">
        <v>1</v>
      </c>
      <c r="E90" s="140">
        <v>1</v>
      </c>
      <c r="F90" s="140">
        <v>1</v>
      </c>
      <c r="G90" s="140">
        <v>1</v>
      </c>
      <c r="H90" s="123">
        <v>1</v>
      </c>
      <c r="I90" s="123"/>
      <c r="J90" s="123"/>
      <c r="K90" s="123"/>
      <c r="L90" s="123"/>
      <c r="M90" s="123"/>
      <c r="N90" s="123"/>
      <c r="O90" s="123"/>
      <c r="P90" s="123"/>
    </row>
    <row r="91" spans="2:16" x14ac:dyDescent="0.25">
      <c r="C91" s="43" t="s">
        <v>167</v>
      </c>
      <c r="D91" s="141">
        <v>1</v>
      </c>
      <c r="E91" s="141">
        <v>1.48</v>
      </c>
      <c r="F91" s="141">
        <v>1</v>
      </c>
      <c r="G91" s="141">
        <v>1</v>
      </c>
      <c r="H91" s="123">
        <v>1</v>
      </c>
      <c r="I91" s="123"/>
      <c r="J91" s="123"/>
      <c r="K91" s="123"/>
      <c r="L91" s="123"/>
      <c r="M91" s="123"/>
      <c r="N91" s="123"/>
      <c r="O91" s="123"/>
      <c r="P91" s="123"/>
    </row>
    <row r="92" spans="2:16" x14ac:dyDescent="0.25">
      <c r="C92" s="43" t="s">
        <v>168</v>
      </c>
      <c r="D92" s="141">
        <v>1</v>
      </c>
      <c r="E92" s="141">
        <v>2.84</v>
      </c>
      <c r="F92" s="141">
        <v>1</v>
      </c>
      <c r="G92" s="141">
        <v>1</v>
      </c>
      <c r="H92" s="123">
        <v>1</v>
      </c>
      <c r="I92" s="123"/>
      <c r="J92" s="123"/>
      <c r="K92" s="123"/>
      <c r="L92" s="123"/>
      <c r="M92" s="123"/>
      <c r="N92" s="123"/>
      <c r="O92" s="123"/>
      <c r="P92" s="123"/>
    </row>
    <row r="93" spans="2:16" x14ac:dyDescent="0.25">
      <c r="C93" s="43" t="s">
        <v>169</v>
      </c>
      <c r="D93" s="141">
        <v>1</v>
      </c>
      <c r="E93" s="141">
        <v>14.4</v>
      </c>
      <c r="F93" s="141">
        <v>3.69</v>
      </c>
      <c r="G93" s="141">
        <v>3.69</v>
      </c>
      <c r="H93" s="123">
        <v>1</v>
      </c>
      <c r="I93" s="123"/>
      <c r="J93" s="123"/>
      <c r="K93" s="123"/>
      <c r="L93" s="123"/>
      <c r="M93" s="123"/>
      <c r="N93" s="123"/>
      <c r="O93" s="123"/>
      <c r="P93" s="123"/>
    </row>
    <row r="94" spans="2:16" x14ac:dyDescent="0.25">
      <c r="B94" s="35" t="s">
        <v>17</v>
      </c>
      <c r="C94" s="43" t="s">
        <v>166</v>
      </c>
      <c r="D94" s="140">
        <v>1</v>
      </c>
      <c r="E94" s="140">
        <v>1</v>
      </c>
      <c r="F94" s="140">
        <v>1</v>
      </c>
      <c r="G94" s="140">
        <v>1</v>
      </c>
      <c r="H94" s="123">
        <v>1</v>
      </c>
      <c r="I94" s="123"/>
      <c r="J94" s="123"/>
      <c r="K94" s="123"/>
      <c r="L94" s="123"/>
      <c r="M94" s="123"/>
      <c r="N94" s="123"/>
      <c r="O94" s="123"/>
      <c r="P94" s="123"/>
    </row>
    <row r="95" spans="2:16" x14ac:dyDescent="0.25">
      <c r="C95" s="43" t="s">
        <v>167</v>
      </c>
      <c r="D95" s="141">
        <v>1</v>
      </c>
      <c r="E95" s="141">
        <v>1.48</v>
      </c>
      <c r="F95" s="141">
        <v>1</v>
      </c>
      <c r="G95" s="141">
        <v>1</v>
      </c>
      <c r="H95" s="123">
        <v>1</v>
      </c>
      <c r="I95" s="123"/>
      <c r="J95" s="123"/>
      <c r="K95" s="123"/>
      <c r="L95" s="123"/>
      <c r="M95" s="123"/>
      <c r="N95" s="123"/>
      <c r="O95" s="123"/>
      <c r="P95" s="123"/>
    </row>
    <row r="96" spans="2:16" x14ac:dyDescent="0.25">
      <c r="C96" s="43" t="s">
        <v>168</v>
      </c>
      <c r="D96" s="141">
        <v>1</v>
      </c>
      <c r="E96" s="141">
        <v>2.84</v>
      </c>
      <c r="F96" s="141">
        <v>1</v>
      </c>
      <c r="G96" s="141">
        <v>1</v>
      </c>
      <c r="H96" s="123">
        <v>1</v>
      </c>
      <c r="I96" s="123"/>
      <c r="J96" s="123"/>
      <c r="K96" s="123"/>
      <c r="L96" s="123"/>
      <c r="M96" s="123"/>
      <c r="N96" s="123"/>
      <c r="O96" s="123"/>
      <c r="P96" s="123"/>
    </row>
    <row r="97" spans="1:16" x14ac:dyDescent="0.25">
      <c r="C97" s="43" t="s">
        <v>169</v>
      </c>
      <c r="D97" s="141">
        <v>1</v>
      </c>
      <c r="E97" s="141">
        <v>14.4</v>
      </c>
      <c r="F97" s="141">
        <v>3.69</v>
      </c>
      <c r="G97" s="141">
        <v>3.69</v>
      </c>
      <c r="H97" s="123">
        <v>1</v>
      </c>
      <c r="I97" s="123"/>
      <c r="J97" s="123"/>
      <c r="K97" s="123"/>
      <c r="L97" s="123"/>
      <c r="M97" s="123"/>
      <c r="N97" s="123"/>
      <c r="O97" s="123"/>
      <c r="P97" s="123"/>
    </row>
    <row r="98" spans="1:16" x14ac:dyDescent="0.25">
      <c r="B98" s="35" t="s">
        <v>20</v>
      </c>
      <c r="C98" s="43" t="s">
        <v>166</v>
      </c>
      <c r="D98" s="140">
        <v>1</v>
      </c>
      <c r="E98" s="140">
        <v>1</v>
      </c>
      <c r="F98" s="140">
        <v>1</v>
      </c>
      <c r="G98" s="140">
        <v>1</v>
      </c>
      <c r="H98" s="123">
        <v>1</v>
      </c>
      <c r="I98" s="123"/>
      <c r="J98" s="123"/>
      <c r="K98" s="123"/>
      <c r="L98" s="123"/>
      <c r="M98" s="123"/>
      <c r="N98" s="123"/>
      <c r="O98" s="123"/>
      <c r="P98" s="123"/>
    </row>
    <row r="99" spans="1:16" x14ac:dyDescent="0.25">
      <c r="C99" s="43" t="s">
        <v>167</v>
      </c>
      <c r="D99" s="141">
        <v>1</v>
      </c>
      <c r="E99" s="141">
        <v>1.48</v>
      </c>
      <c r="F99" s="141">
        <v>1</v>
      </c>
      <c r="G99" s="141">
        <v>1</v>
      </c>
      <c r="H99" s="123">
        <v>1</v>
      </c>
      <c r="I99" s="123"/>
      <c r="J99" s="123"/>
      <c r="K99" s="123"/>
      <c r="L99" s="123"/>
      <c r="M99" s="123"/>
      <c r="N99" s="123"/>
      <c r="O99" s="123"/>
      <c r="P99" s="123"/>
    </row>
    <row r="100" spans="1:16" x14ac:dyDescent="0.25">
      <c r="C100" s="43" t="s">
        <v>168</v>
      </c>
      <c r="D100" s="141">
        <v>1</v>
      </c>
      <c r="E100" s="141">
        <v>2.84</v>
      </c>
      <c r="F100" s="141">
        <v>1</v>
      </c>
      <c r="G100" s="141">
        <v>1</v>
      </c>
      <c r="H100" s="123">
        <v>1</v>
      </c>
      <c r="I100" s="123"/>
      <c r="J100" s="123"/>
      <c r="K100" s="123"/>
      <c r="L100" s="123"/>
      <c r="M100" s="123"/>
      <c r="N100" s="123"/>
      <c r="O100" s="123"/>
      <c r="P100" s="123"/>
    </row>
    <row r="101" spans="1:16" x14ac:dyDescent="0.25">
      <c r="C101" s="43" t="s">
        <v>169</v>
      </c>
      <c r="D101" s="141">
        <v>1</v>
      </c>
      <c r="E101" s="141">
        <v>14.4</v>
      </c>
      <c r="F101" s="141">
        <v>3.69</v>
      </c>
      <c r="G101" s="141">
        <v>3.69</v>
      </c>
      <c r="H101" s="123">
        <v>1</v>
      </c>
      <c r="I101" s="123"/>
      <c r="J101" s="123"/>
      <c r="K101" s="123"/>
      <c r="L101" s="123"/>
      <c r="M101" s="123"/>
      <c r="N101" s="123"/>
      <c r="O101" s="123"/>
      <c r="P101" s="123"/>
    </row>
    <row r="103" spans="1:16" s="105" customFormat="1" ht="13" x14ac:dyDescent="0.3">
      <c r="A103" s="104" t="s">
        <v>248</v>
      </c>
    </row>
    <row r="104" spans="1:16" s="36" customFormat="1" ht="26" x14ac:dyDescent="0.3">
      <c r="A104" s="126" t="s">
        <v>71</v>
      </c>
      <c r="B104" s="131" t="s">
        <v>169</v>
      </c>
      <c r="C104" s="128" t="s">
        <v>247</v>
      </c>
      <c r="D104" s="108" t="s">
        <v>1</v>
      </c>
      <c r="E104" s="108" t="s">
        <v>2</v>
      </c>
      <c r="F104" s="108" t="s">
        <v>3</v>
      </c>
      <c r="G104" s="108" t="s">
        <v>4</v>
      </c>
      <c r="H104" s="129" t="s">
        <v>5</v>
      </c>
      <c r="I104" s="125"/>
      <c r="J104" s="125"/>
      <c r="K104" s="125"/>
      <c r="L104" s="125"/>
      <c r="M104" s="125"/>
      <c r="N104" s="125"/>
      <c r="O104" s="125"/>
      <c r="P104" s="125"/>
    </row>
    <row r="105" spans="1:16" ht="13" x14ac:dyDescent="0.3">
      <c r="A105" s="40"/>
      <c r="B105" s="36"/>
      <c r="C105" s="43" t="s">
        <v>166</v>
      </c>
      <c r="D105" s="140">
        <v>1</v>
      </c>
      <c r="E105" s="140">
        <v>1</v>
      </c>
      <c r="F105" s="140">
        <v>1</v>
      </c>
      <c r="G105" s="140">
        <v>1</v>
      </c>
      <c r="H105" s="123">
        <v>1</v>
      </c>
      <c r="I105" s="123"/>
      <c r="J105" s="123"/>
      <c r="K105" s="123"/>
      <c r="L105" s="123"/>
      <c r="M105" s="123"/>
      <c r="N105" s="123"/>
      <c r="O105" s="123"/>
      <c r="P105" s="123"/>
    </row>
    <row r="106" spans="1:16" x14ac:dyDescent="0.25">
      <c r="C106" s="43" t="s">
        <v>167</v>
      </c>
      <c r="D106" s="141">
        <v>1.26</v>
      </c>
      <c r="E106" s="141">
        <v>1.26</v>
      </c>
      <c r="F106" s="141">
        <v>1</v>
      </c>
      <c r="G106" s="141">
        <v>1</v>
      </c>
      <c r="H106" s="123">
        <v>1</v>
      </c>
      <c r="I106" s="123"/>
      <c r="J106" s="123"/>
      <c r="K106" s="123"/>
      <c r="L106" s="123"/>
      <c r="M106" s="123"/>
      <c r="N106" s="123"/>
      <c r="O106" s="123"/>
      <c r="P106" s="123"/>
    </row>
    <row r="107" spans="1:16" x14ac:dyDescent="0.25">
      <c r="C107" s="43" t="s">
        <v>168</v>
      </c>
      <c r="D107" s="141">
        <v>1.68</v>
      </c>
      <c r="E107" s="141">
        <v>1.68</v>
      </c>
      <c r="F107" s="141">
        <v>1</v>
      </c>
      <c r="G107" s="141">
        <v>1</v>
      </c>
      <c r="H107" s="123">
        <v>1</v>
      </c>
      <c r="I107" s="123"/>
      <c r="J107" s="123"/>
      <c r="K107" s="123"/>
      <c r="L107" s="123"/>
      <c r="M107" s="123"/>
      <c r="N107" s="123"/>
      <c r="O107" s="123"/>
      <c r="P107" s="123"/>
    </row>
    <row r="108" spans="1:16" x14ac:dyDescent="0.25">
      <c r="C108" s="43" t="s">
        <v>169</v>
      </c>
      <c r="D108" s="141">
        <v>2.65</v>
      </c>
      <c r="E108" s="141">
        <v>2.65</v>
      </c>
      <c r="F108" s="141">
        <v>2.0699999999999998</v>
      </c>
      <c r="G108" s="141">
        <v>2.0699999999999998</v>
      </c>
      <c r="H108" s="123">
        <v>1</v>
      </c>
      <c r="I108" s="123"/>
      <c r="J108" s="123"/>
      <c r="K108" s="123"/>
      <c r="L108" s="123"/>
      <c r="M108" s="123"/>
      <c r="N108" s="123"/>
      <c r="O108" s="123"/>
      <c r="P108" s="123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D3" sqref="D3"/>
    </sheetView>
  </sheetViews>
  <sheetFormatPr defaultColWidth="12.7265625" defaultRowHeight="12.5" x14ac:dyDescent="0.25"/>
  <cols>
    <col min="1" max="1" width="25.7265625" style="35" customWidth="1"/>
    <col min="2" max="2" width="44.453125" style="35" customWidth="1"/>
    <col min="3" max="3" width="17.7265625" style="35" customWidth="1"/>
    <col min="4" max="4" width="17.54296875" style="35" customWidth="1"/>
    <col min="5" max="5" width="17.26953125" style="35" customWidth="1"/>
    <col min="6" max="6" width="15" style="35" customWidth="1"/>
    <col min="7" max="7" width="13.7265625" style="35" customWidth="1"/>
    <col min="8" max="16384" width="12.7265625" style="35"/>
  </cols>
  <sheetData>
    <row r="1" spans="1:7" s="105" customFormat="1" ht="14.25" customHeight="1" x14ac:dyDescent="0.3">
      <c r="A1" s="104" t="s">
        <v>249</v>
      </c>
    </row>
    <row r="2" spans="1:7" ht="14.25" customHeight="1" x14ac:dyDescent="0.3">
      <c r="A2" s="130" t="s">
        <v>25</v>
      </c>
      <c r="B2" s="124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8" t="s">
        <v>250</v>
      </c>
      <c r="C3" s="141" t="s">
        <v>251</v>
      </c>
      <c r="D3" s="141">
        <v>45</v>
      </c>
      <c r="E3" s="141">
        <v>361.6</v>
      </c>
      <c r="F3" s="141">
        <v>174.7</v>
      </c>
      <c r="G3" s="141">
        <v>174.7</v>
      </c>
    </row>
    <row r="4" spans="1:7" ht="14.25" customHeight="1" x14ac:dyDescent="0.3">
      <c r="A4" s="40"/>
      <c r="B4" s="122" t="s">
        <v>252</v>
      </c>
      <c r="C4" s="141">
        <v>1.0249999999999999</v>
      </c>
      <c r="D4" s="141">
        <v>1.0249999999999999</v>
      </c>
      <c r="E4" s="141">
        <v>1.0249999999999999</v>
      </c>
      <c r="F4" s="141">
        <v>1.0249999999999999</v>
      </c>
      <c r="G4" s="141">
        <v>1.0249999999999999</v>
      </c>
    </row>
    <row r="5" spans="1:7" ht="14.25" customHeight="1" x14ac:dyDescent="0.3">
      <c r="A5" s="109" t="s">
        <v>253</v>
      </c>
    </row>
    <row r="6" spans="1:7" ht="14.25" customHeight="1" x14ac:dyDescent="0.25">
      <c r="B6" s="122" t="s">
        <v>58</v>
      </c>
      <c r="C6" s="141">
        <v>1</v>
      </c>
      <c r="D6" s="141">
        <v>1</v>
      </c>
      <c r="E6" s="141">
        <v>0.89</v>
      </c>
      <c r="F6" s="141">
        <v>0.89</v>
      </c>
      <c r="G6" s="141">
        <v>1</v>
      </c>
    </row>
    <row r="7" spans="1:7" ht="14.25" customHeight="1" x14ac:dyDescent="0.25">
      <c r="B7" s="122" t="s">
        <v>136</v>
      </c>
      <c r="C7" s="141">
        <v>1</v>
      </c>
      <c r="D7" s="141">
        <v>1</v>
      </c>
      <c r="E7" s="141">
        <v>0.89</v>
      </c>
      <c r="F7" s="141">
        <v>0.89</v>
      </c>
      <c r="G7" s="141">
        <v>1</v>
      </c>
    </row>
    <row r="8" spans="1:7" ht="14.25" customHeight="1" x14ac:dyDescent="0.25">
      <c r="B8" s="122" t="s">
        <v>60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</row>
    <row r="9" spans="1:7" ht="14.25" customHeight="1" x14ac:dyDescent="0.25">
      <c r="B9" s="122"/>
      <c r="C9" s="122"/>
      <c r="D9" s="122"/>
      <c r="E9" s="122"/>
      <c r="F9" s="122"/>
      <c r="G9" s="122"/>
    </row>
    <row r="10" spans="1:7" s="105" customFormat="1" ht="14.25" customHeight="1" x14ac:dyDescent="0.3">
      <c r="A10" s="104" t="s">
        <v>254</v>
      </c>
    </row>
    <row r="11" spans="1:7" ht="14.25" customHeight="1" x14ac:dyDescent="0.3">
      <c r="A11" s="109"/>
      <c r="B11" s="118" t="s">
        <v>196</v>
      </c>
      <c r="C11" s="141">
        <v>1.5</v>
      </c>
      <c r="D11" s="141">
        <v>1.39</v>
      </c>
      <c r="E11" s="141">
        <v>1</v>
      </c>
      <c r="F11" s="141">
        <v>1</v>
      </c>
      <c r="G11" s="141">
        <v>1</v>
      </c>
    </row>
    <row r="12" spans="1:7" ht="14.25" customHeight="1" x14ac:dyDescent="0.3">
      <c r="A12" s="109"/>
      <c r="B12" s="118"/>
    </row>
    <row r="13" spans="1:7" s="105" customFormat="1" ht="14.25" customHeight="1" x14ac:dyDescent="0.3">
      <c r="A13" s="104" t="s">
        <v>255</v>
      </c>
    </row>
    <row r="14" spans="1:7" ht="14.25" customHeight="1" x14ac:dyDescent="0.3">
      <c r="A14" s="130" t="s">
        <v>240</v>
      </c>
      <c r="B14" s="122" t="s">
        <v>256</v>
      </c>
      <c r="C14" s="141">
        <v>1.0249999999999999</v>
      </c>
      <c r="D14" s="141">
        <v>1.0249999999999999</v>
      </c>
      <c r="E14" s="141">
        <v>1.0249999999999999</v>
      </c>
      <c r="F14" s="141">
        <v>1.0249999999999999</v>
      </c>
      <c r="G14" s="141">
        <v>1.0249999999999999</v>
      </c>
    </row>
    <row r="15" spans="1:7" ht="14.25" customHeight="1" x14ac:dyDescent="0.3">
      <c r="A15" s="40"/>
      <c r="B15" s="122" t="s">
        <v>257</v>
      </c>
      <c r="C15" s="141">
        <v>1.0249999999999999</v>
      </c>
      <c r="D15" s="141">
        <v>1.0249999999999999</v>
      </c>
      <c r="E15" s="141">
        <v>1.0249999999999999</v>
      </c>
      <c r="F15" s="141">
        <v>1.0249999999999999</v>
      </c>
      <c r="G15" s="141">
        <v>1.0249999999999999</v>
      </c>
    </row>
    <row r="16" spans="1:7" ht="14.25" customHeight="1" x14ac:dyDescent="0.3">
      <c r="A16" s="130" t="s">
        <v>70</v>
      </c>
      <c r="B16" s="118" t="s">
        <v>258</v>
      </c>
      <c r="C16" s="141">
        <v>1</v>
      </c>
      <c r="D16" s="141">
        <v>1</v>
      </c>
      <c r="E16" s="141">
        <v>1</v>
      </c>
      <c r="F16" s="141">
        <v>1</v>
      </c>
      <c r="G16" s="141">
        <v>1</v>
      </c>
    </row>
    <row r="17" spans="1:6" ht="14.25" customHeight="1" x14ac:dyDescent="0.25"/>
    <row r="18" spans="1:6" s="105" customFormat="1" ht="14.25" customHeight="1" x14ac:dyDescent="0.3">
      <c r="A18" s="104" t="s">
        <v>259</v>
      </c>
    </row>
    <row r="19" spans="1:6" s="109" customFormat="1" ht="14.25" customHeight="1" x14ac:dyDescent="0.3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8" t="s">
        <v>198</v>
      </c>
      <c r="C20" s="141">
        <v>1.52</v>
      </c>
      <c r="D20" s="141">
        <v>1</v>
      </c>
      <c r="E20" s="141">
        <v>1</v>
      </c>
      <c r="F20" s="14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1796875" defaultRowHeight="15.75" customHeight="1" x14ac:dyDescent="0.25"/>
  <cols>
    <col min="1" max="1" width="52.26953125" style="35" customWidth="1"/>
    <col min="2" max="6" width="16.1796875" style="35"/>
    <col min="7" max="7" width="17.26953125" style="35" customWidth="1"/>
    <col min="8" max="8" width="16.1796875" style="35" customWidth="1"/>
    <col min="9" max="16384" width="16.1796875" style="35"/>
  </cols>
  <sheetData>
    <row r="1" spans="1:6" ht="15.75" customHeight="1" x14ac:dyDescent="0.3">
      <c r="A1" s="124" t="s">
        <v>69</v>
      </c>
      <c r="B1" s="40"/>
      <c r="C1" s="40" t="s">
        <v>9</v>
      </c>
      <c r="D1" s="40" t="s">
        <v>12</v>
      </c>
      <c r="E1" s="40" t="s">
        <v>11</v>
      </c>
      <c r="F1" s="124" t="s">
        <v>26</v>
      </c>
    </row>
    <row r="2" spans="1:6" ht="15.75" customHeight="1" x14ac:dyDescent="0.25">
      <c r="A2" s="95" t="s">
        <v>29</v>
      </c>
      <c r="B2" s="95" t="s">
        <v>260</v>
      </c>
      <c r="C2" s="141">
        <v>0.21</v>
      </c>
      <c r="D2" s="141">
        <v>0.21</v>
      </c>
      <c r="E2" s="141">
        <v>0</v>
      </c>
      <c r="F2" s="141">
        <v>0</v>
      </c>
    </row>
    <row r="3" spans="1:6" ht="15.75" customHeight="1" x14ac:dyDescent="0.25">
      <c r="A3" s="95"/>
      <c r="B3" s="95" t="s">
        <v>261</v>
      </c>
      <c r="C3" s="141">
        <v>1</v>
      </c>
      <c r="D3" s="141">
        <v>1</v>
      </c>
      <c r="E3" s="141">
        <v>1</v>
      </c>
      <c r="F3" s="141">
        <v>1</v>
      </c>
    </row>
    <row r="4" spans="1:6" ht="15.75" customHeight="1" x14ac:dyDescent="0.25">
      <c r="A4" s="95" t="s">
        <v>187</v>
      </c>
      <c r="B4" s="95" t="s">
        <v>260</v>
      </c>
      <c r="C4" s="141">
        <v>0</v>
      </c>
      <c r="D4" s="141">
        <v>0</v>
      </c>
      <c r="E4" s="141">
        <v>0</v>
      </c>
      <c r="F4" s="141">
        <v>0</v>
      </c>
    </row>
    <row r="5" spans="1:6" ht="15.75" customHeight="1" x14ac:dyDescent="0.25">
      <c r="A5" s="95"/>
      <c r="B5" s="95" t="s">
        <v>261</v>
      </c>
      <c r="C5" s="141">
        <v>1</v>
      </c>
      <c r="D5" s="141">
        <v>1</v>
      </c>
      <c r="E5" s="141">
        <v>1</v>
      </c>
      <c r="F5" s="141">
        <v>1</v>
      </c>
    </row>
    <row r="6" spans="1:6" ht="15.75" customHeight="1" x14ac:dyDescent="0.25">
      <c r="A6" s="95" t="s">
        <v>209</v>
      </c>
      <c r="B6" s="95" t="s">
        <v>260</v>
      </c>
      <c r="C6" s="141">
        <v>0</v>
      </c>
      <c r="D6" s="141">
        <v>0</v>
      </c>
      <c r="E6" s="141">
        <v>0</v>
      </c>
      <c r="F6" s="141">
        <v>0</v>
      </c>
    </row>
    <row r="7" spans="1:6" ht="15.75" customHeight="1" x14ac:dyDescent="0.25">
      <c r="A7" s="95"/>
      <c r="B7" s="95" t="s">
        <v>261</v>
      </c>
      <c r="C7" s="141">
        <v>1</v>
      </c>
      <c r="D7" s="141">
        <v>1</v>
      </c>
      <c r="E7" s="141">
        <v>1</v>
      </c>
      <c r="F7" s="141">
        <v>1</v>
      </c>
    </row>
    <row r="8" spans="1:6" ht="15.75" customHeight="1" x14ac:dyDescent="0.25">
      <c r="A8" s="95" t="s">
        <v>57</v>
      </c>
      <c r="B8" s="95" t="s">
        <v>260</v>
      </c>
      <c r="C8" s="141">
        <v>0.35</v>
      </c>
      <c r="D8" s="141">
        <v>0.35</v>
      </c>
      <c r="E8" s="141">
        <v>0</v>
      </c>
      <c r="F8" s="141">
        <v>0</v>
      </c>
    </row>
    <row r="9" spans="1:6" ht="15.75" customHeight="1" x14ac:dyDescent="0.25">
      <c r="A9" s="95"/>
      <c r="B9" s="95" t="s">
        <v>261</v>
      </c>
      <c r="C9" s="141">
        <v>1</v>
      </c>
      <c r="D9" s="141">
        <v>1</v>
      </c>
      <c r="E9" s="141">
        <v>0</v>
      </c>
      <c r="F9" s="141">
        <v>0</v>
      </c>
    </row>
    <row r="10" spans="1:6" ht="15.75" customHeight="1" x14ac:dyDescent="0.25">
      <c r="A10" s="95" t="s">
        <v>34</v>
      </c>
      <c r="B10" s="95" t="s">
        <v>260</v>
      </c>
      <c r="C10" s="141">
        <v>0.35</v>
      </c>
      <c r="D10" s="141">
        <v>0.35</v>
      </c>
      <c r="E10" s="141">
        <v>0</v>
      </c>
      <c r="F10" s="141">
        <v>0</v>
      </c>
    </row>
    <row r="11" spans="1:6" ht="15.75" customHeight="1" x14ac:dyDescent="0.25">
      <c r="A11" s="95"/>
      <c r="B11" s="95" t="s">
        <v>261</v>
      </c>
      <c r="C11" s="141">
        <v>1</v>
      </c>
      <c r="D11" s="141">
        <v>1</v>
      </c>
      <c r="E11" s="141">
        <v>0</v>
      </c>
      <c r="F11" s="141">
        <v>0</v>
      </c>
    </row>
    <row r="12" spans="1:6" ht="15.75" customHeight="1" x14ac:dyDescent="0.25">
      <c r="A12" s="95" t="s">
        <v>59</v>
      </c>
      <c r="B12" s="95" t="s">
        <v>260</v>
      </c>
      <c r="C12" s="141">
        <v>0.08</v>
      </c>
      <c r="D12" s="141">
        <v>0.08</v>
      </c>
      <c r="E12" s="141">
        <v>0</v>
      </c>
      <c r="F12" s="141">
        <v>0</v>
      </c>
    </row>
    <row r="13" spans="1:6" ht="15.75" customHeight="1" x14ac:dyDescent="0.25">
      <c r="A13" s="95"/>
      <c r="B13" s="95" t="s">
        <v>261</v>
      </c>
      <c r="C13" s="141">
        <v>1</v>
      </c>
      <c r="D13" s="141">
        <v>1</v>
      </c>
      <c r="E13" s="141">
        <v>1</v>
      </c>
      <c r="F13" s="141">
        <v>1</v>
      </c>
    </row>
    <row r="19" spans="1:1" ht="15.75" customHeight="1" x14ac:dyDescent="0.25">
      <c r="A19" s="95"/>
    </row>
    <row r="20" spans="1:1" ht="15.75" customHeight="1" x14ac:dyDescent="0.25">
      <c r="A20" s="95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H1" workbookViewId="0">
      <selection activeCell="E19" sqref="E19:O20"/>
    </sheetView>
  </sheetViews>
  <sheetFormatPr defaultColWidth="12.7265625" defaultRowHeight="12.5" x14ac:dyDescent="0.25"/>
  <cols>
    <col min="1" max="1" width="22.54296875" style="35" customWidth="1"/>
    <col min="2" max="2" width="58.81640625" style="35" bestFit="1" customWidth="1"/>
    <col min="3" max="15" width="15" style="35" customWidth="1"/>
    <col min="16" max="16384" width="12.7265625" style="35"/>
  </cols>
  <sheetData>
    <row r="1" spans="1:15" ht="35.25" customHeight="1" x14ac:dyDescent="0.3">
      <c r="A1" s="40"/>
      <c r="B1" s="40"/>
      <c r="C1" s="108" t="s">
        <v>1</v>
      </c>
      <c r="D1" s="108" t="s">
        <v>2</v>
      </c>
      <c r="E1" s="108" t="s">
        <v>3</v>
      </c>
      <c r="F1" s="108" t="s">
        <v>4</v>
      </c>
      <c r="G1" s="108" t="s">
        <v>5</v>
      </c>
      <c r="H1" s="108" t="s">
        <v>49</v>
      </c>
      <c r="I1" s="108" t="s">
        <v>50</v>
      </c>
      <c r="J1" s="108" t="s">
        <v>51</v>
      </c>
      <c r="K1" s="108" t="s">
        <v>52</v>
      </c>
      <c r="L1" s="108" t="s">
        <v>53</v>
      </c>
      <c r="M1" s="108" t="s">
        <v>54</v>
      </c>
      <c r="N1" s="108" t="s">
        <v>55</v>
      </c>
      <c r="O1" s="108" t="s">
        <v>56</v>
      </c>
    </row>
    <row r="2" spans="1:15" ht="13" x14ac:dyDescent="0.3">
      <c r="A2" s="40" t="s">
        <v>262</v>
      </c>
    </row>
    <row r="3" spans="1:15" x14ac:dyDescent="0.25">
      <c r="B3" s="63" t="s">
        <v>149</v>
      </c>
      <c r="C3" s="141">
        <v>0.53</v>
      </c>
      <c r="D3" s="141">
        <v>0.53</v>
      </c>
      <c r="E3" s="141">
        <v>1</v>
      </c>
      <c r="F3" s="141">
        <v>1</v>
      </c>
      <c r="G3" s="141">
        <v>1</v>
      </c>
      <c r="H3" s="141">
        <v>1</v>
      </c>
      <c r="I3" s="141">
        <v>1</v>
      </c>
      <c r="J3" s="141">
        <v>1</v>
      </c>
      <c r="K3" s="141">
        <v>1</v>
      </c>
      <c r="L3" s="141">
        <v>1</v>
      </c>
      <c r="M3" s="141">
        <v>1</v>
      </c>
      <c r="N3" s="141">
        <v>1</v>
      </c>
      <c r="O3" s="141">
        <v>1</v>
      </c>
    </row>
    <row r="4" spans="1:15" x14ac:dyDescent="0.25">
      <c r="B4" s="63" t="s">
        <v>188</v>
      </c>
      <c r="C4" s="141">
        <v>1</v>
      </c>
      <c r="D4" s="141">
        <v>1</v>
      </c>
      <c r="E4" s="141">
        <v>1</v>
      </c>
      <c r="F4" s="141">
        <v>1</v>
      </c>
      <c r="G4" s="141">
        <v>1</v>
      </c>
      <c r="H4" s="141">
        <v>0.73</v>
      </c>
      <c r="I4" s="141">
        <v>0.73</v>
      </c>
      <c r="J4" s="141">
        <v>0.73</v>
      </c>
      <c r="K4" s="141">
        <v>0.73</v>
      </c>
      <c r="L4" s="141">
        <v>1</v>
      </c>
      <c r="M4" s="141">
        <v>1</v>
      </c>
      <c r="N4" s="141">
        <v>1</v>
      </c>
      <c r="O4" s="141">
        <v>1</v>
      </c>
    </row>
    <row r="5" spans="1:15" x14ac:dyDescent="0.25">
      <c r="B5" s="63" t="s">
        <v>208</v>
      </c>
      <c r="C5" s="141">
        <v>1</v>
      </c>
      <c r="D5" s="141">
        <v>1</v>
      </c>
      <c r="E5" s="141">
        <v>1</v>
      </c>
      <c r="F5" s="141">
        <v>1</v>
      </c>
      <c r="G5" s="141">
        <v>1</v>
      </c>
      <c r="H5" s="141">
        <v>0.73</v>
      </c>
      <c r="I5" s="141">
        <v>0.73</v>
      </c>
      <c r="J5" s="141">
        <v>0.73</v>
      </c>
      <c r="K5" s="141">
        <v>0.73</v>
      </c>
      <c r="L5" s="141">
        <v>1</v>
      </c>
      <c r="M5" s="141">
        <v>1</v>
      </c>
      <c r="N5" s="141">
        <v>1</v>
      </c>
      <c r="O5" s="141">
        <v>1</v>
      </c>
    </row>
    <row r="6" spans="1:15" x14ac:dyDescent="0.25">
      <c r="B6" s="63" t="s">
        <v>189</v>
      </c>
      <c r="C6" s="141">
        <v>1</v>
      </c>
      <c r="D6" s="141">
        <v>1</v>
      </c>
      <c r="E6" s="141">
        <v>1</v>
      </c>
      <c r="F6" s="141">
        <v>1</v>
      </c>
      <c r="G6" s="141">
        <v>1</v>
      </c>
      <c r="H6" s="141">
        <v>0.73</v>
      </c>
      <c r="I6" s="141">
        <v>0.73</v>
      </c>
      <c r="J6" s="141">
        <v>0.73</v>
      </c>
      <c r="K6" s="141">
        <v>0.73</v>
      </c>
      <c r="L6" s="141">
        <v>1</v>
      </c>
      <c r="M6" s="141">
        <v>1</v>
      </c>
      <c r="N6" s="141">
        <v>1</v>
      </c>
      <c r="O6" s="141">
        <v>1</v>
      </c>
    </row>
    <row r="7" spans="1:15" x14ac:dyDescent="0.25">
      <c r="B7" s="63" t="s">
        <v>190</v>
      </c>
      <c r="C7" s="141">
        <v>1</v>
      </c>
      <c r="D7" s="141">
        <v>1</v>
      </c>
      <c r="E7" s="141">
        <v>1</v>
      </c>
      <c r="F7" s="141">
        <v>1</v>
      </c>
      <c r="G7" s="141">
        <v>1</v>
      </c>
      <c r="H7" s="141">
        <v>0.73</v>
      </c>
      <c r="I7" s="141">
        <v>0.73</v>
      </c>
      <c r="J7" s="141">
        <v>0.73</v>
      </c>
      <c r="K7" s="141">
        <v>0.73</v>
      </c>
      <c r="L7" s="141">
        <v>1</v>
      </c>
      <c r="M7" s="141">
        <v>1</v>
      </c>
      <c r="N7" s="141">
        <v>1</v>
      </c>
      <c r="O7" s="141">
        <v>1</v>
      </c>
    </row>
    <row r="8" spans="1:15" x14ac:dyDescent="0.25">
      <c r="B8" s="95" t="s">
        <v>187</v>
      </c>
      <c r="C8" s="141">
        <v>1</v>
      </c>
      <c r="D8" s="141">
        <v>1</v>
      </c>
      <c r="E8" s="141">
        <v>1</v>
      </c>
      <c r="F8" s="141">
        <v>1</v>
      </c>
      <c r="G8" s="141">
        <v>1</v>
      </c>
      <c r="H8" s="141">
        <v>1</v>
      </c>
      <c r="I8" s="141">
        <v>1</v>
      </c>
      <c r="J8" s="141">
        <v>1</v>
      </c>
      <c r="K8" s="141">
        <v>1</v>
      </c>
      <c r="L8" s="141">
        <v>0.33</v>
      </c>
      <c r="M8" s="141">
        <v>0.33</v>
      </c>
      <c r="N8" s="141">
        <v>0.33</v>
      </c>
      <c r="O8" s="141">
        <v>0.33</v>
      </c>
    </row>
    <row r="9" spans="1:15" x14ac:dyDescent="0.25">
      <c r="B9" s="95" t="s">
        <v>209</v>
      </c>
      <c r="C9" s="141">
        <v>1</v>
      </c>
      <c r="D9" s="141">
        <v>1</v>
      </c>
      <c r="E9" s="141">
        <v>1</v>
      </c>
      <c r="F9" s="141">
        <v>1</v>
      </c>
      <c r="G9" s="141">
        <v>1</v>
      </c>
      <c r="H9" s="141">
        <v>1</v>
      </c>
      <c r="I9" s="141">
        <v>1</v>
      </c>
      <c r="J9" s="141">
        <v>1</v>
      </c>
      <c r="K9" s="141">
        <v>1</v>
      </c>
      <c r="L9" s="141">
        <v>0.33</v>
      </c>
      <c r="M9" s="141">
        <v>0.33</v>
      </c>
      <c r="N9" s="141">
        <v>0.33</v>
      </c>
      <c r="O9" s="141">
        <v>0.33</v>
      </c>
    </row>
    <row r="10" spans="1:15" x14ac:dyDescent="0.25">
      <c r="B10" s="63" t="s">
        <v>57</v>
      </c>
      <c r="C10" s="141">
        <v>1</v>
      </c>
      <c r="D10" s="141">
        <v>1</v>
      </c>
      <c r="E10" s="141">
        <v>1</v>
      </c>
      <c r="F10" s="141">
        <v>1</v>
      </c>
      <c r="G10" s="141">
        <v>1</v>
      </c>
      <c r="H10" s="141">
        <v>1</v>
      </c>
      <c r="I10" s="141">
        <v>1</v>
      </c>
      <c r="J10" s="141">
        <v>1</v>
      </c>
      <c r="K10" s="141">
        <v>1</v>
      </c>
      <c r="L10" s="141">
        <v>0.83</v>
      </c>
      <c r="M10" s="141">
        <v>0.83</v>
      </c>
      <c r="N10" s="141">
        <v>0.83</v>
      </c>
      <c r="O10" s="141">
        <v>0.83</v>
      </c>
    </row>
    <row r="11" spans="1:15" x14ac:dyDescent="0.25">
      <c r="B11" s="95" t="s">
        <v>136</v>
      </c>
      <c r="C11" s="141">
        <v>1</v>
      </c>
      <c r="D11" s="141">
        <v>1</v>
      </c>
      <c r="E11" s="141">
        <v>0.69</v>
      </c>
      <c r="F11" s="141">
        <v>0.69</v>
      </c>
      <c r="G11" s="141">
        <v>1</v>
      </c>
      <c r="H11" s="141">
        <v>1</v>
      </c>
      <c r="I11" s="141">
        <v>1</v>
      </c>
      <c r="J11" s="141">
        <v>1</v>
      </c>
      <c r="K11" s="141">
        <v>1</v>
      </c>
      <c r="L11" s="141">
        <v>1</v>
      </c>
      <c r="M11" s="141">
        <v>1</v>
      </c>
      <c r="N11" s="141">
        <v>1</v>
      </c>
      <c r="O11" s="141">
        <v>1</v>
      </c>
    </row>
    <row r="12" spans="1:15" x14ac:dyDescent="0.25">
      <c r="B12" s="63" t="s">
        <v>34</v>
      </c>
      <c r="C12" s="141">
        <v>0.83</v>
      </c>
      <c r="D12" s="141">
        <v>0.83</v>
      </c>
      <c r="E12" s="141">
        <v>0.83</v>
      </c>
      <c r="F12" s="141">
        <v>0.83</v>
      </c>
      <c r="G12" s="141">
        <v>0.83</v>
      </c>
      <c r="H12" s="141">
        <v>0.83</v>
      </c>
      <c r="I12" s="141">
        <v>0.83</v>
      </c>
      <c r="J12" s="141">
        <v>0.83</v>
      </c>
      <c r="K12" s="141">
        <v>0.83</v>
      </c>
      <c r="L12" s="141">
        <v>0.83</v>
      </c>
      <c r="M12" s="141">
        <v>0.83</v>
      </c>
      <c r="N12" s="141">
        <v>0.83</v>
      </c>
      <c r="O12" s="141">
        <v>0.83</v>
      </c>
    </row>
    <row r="13" spans="1:15" ht="13.15" customHeight="1" x14ac:dyDescent="0.25">
      <c r="B13" s="63" t="s">
        <v>137</v>
      </c>
      <c r="C13" s="141">
        <v>1</v>
      </c>
      <c r="D13" s="141">
        <v>1</v>
      </c>
      <c r="E13" s="141">
        <v>0.69</v>
      </c>
      <c r="F13" s="141">
        <v>0.69</v>
      </c>
      <c r="G13" s="141">
        <v>0.69</v>
      </c>
      <c r="H13" s="141">
        <v>1</v>
      </c>
      <c r="I13" s="141">
        <v>1</v>
      </c>
      <c r="J13" s="141">
        <v>1</v>
      </c>
      <c r="K13" s="141">
        <v>1</v>
      </c>
      <c r="L13" s="141">
        <v>1</v>
      </c>
      <c r="M13" s="141">
        <v>1</v>
      </c>
      <c r="N13" s="141">
        <v>1</v>
      </c>
      <c r="O13" s="141">
        <v>1</v>
      </c>
    </row>
    <row r="14" spans="1:15" x14ac:dyDescent="0.25">
      <c r="B14" s="63" t="s">
        <v>59</v>
      </c>
      <c r="C14" s="141">
        <v>1</v>
      </c>
      <c r="D14" s="141">
        <v>1</v>
      </c>
      <c r="E14" s="141">
        <v>1</v>
      </c>
      <c r="F14" s="141">
        <v>1</v>
      </c>
      <c r="G14" s="141">
        <v>1</v>
      </c>
      <c r="H14" s="141">
        <v>1</v>
      </c>
      <c r="I14" s="141">
        <v>1</v>
      </c>
      <c r="J14" s="141">
        <v>1</v>
      </c>
      <c r="K14" s="141">
        <v>1</v>
      </c>
      <c r="L14" s="141">
        <v>0.33</v>
      </c>
      <c r="M14" s="141">
        <v>0.33</v>
      </c>
      <c r="N14" s="141">
        <v>0.33</v>
      </c>
      <c r="O14" s="141">
        <v>0.33</v>
      </c>
    </row>
    <row r="16" spans="1:15" ht="13" x14ac:dyDescent="0.3">
      <c r="A16" s="40" t="s">
        <v>263</v>
      </c>
      <c r="B16" s="63"/>
    </row>
    <row r="17" spans="2:15" x14ac:dyDescent="0.25">
      <c r="B17" s="95" t="s">
        <v>63</v>
      </c>
      <c r="C17" s="141">
        <v>1</v>
      </c>
      <c r="D17" s="141">
        <v>1</v>
      </c>
      <c r="E17" s="141">
        <v>0.97599999999999998</v>
      </c>
      <c r="F17" s="141">
        <v>0.97599999999999998</v>
      </c>
      <c r="G17" s="141">
        <v>0.97599999999999998</v>
      </c>
      <c r="H17" s="141">
        <v>0.97599999999999998</v>
      </c>
      <c r="I17" s="141">
        <v>0.97599999999999998</v>
      </c>
      <c r="J17" s="141">
        <v>0.97599999999999998</v>
      </c>
      <c r="K17" s="141">
        <v>0.97599999999999998</v>
      </c>
      <c r="L17" s="141">
        <v>0.97599999999999998</v>
      </c>
      <c r="M17" s="141">
        <v>0.97599999999999998</v>
      </c>
      <c r="N17" s="141">
        <v>0.97599999999999998</v>
      </c>
      <c r="O17" s="141">
        <v>0.97599999999999998</v>
      </c>
    </row>
    <row r="18" spans="2:15" x14ac:dyDescent="0.25">
      <c r="B18" s="95" t="s">
        <v>64</v>
      </c>
      <c r="C18" s="141">
        <v>1</v>
      </c>
      <c r="D18" s="141">
        <v>1</v>
      </c>
      <c r="E18" s="141">
        <v>0.97599999999999998</v>
      </c>
      <c r="F18" s="141">
        <v>0.97599999999999998</v>
      </c>
      <c r="G18" s="141">
        <v>0.97599999999999998</v>
      </c>
      <c r="H18" s="141">
        <v>0.97599999999999998</v>
      </c>
      <c r="I18" s="141">
        <v>0.97599999999999998</v>
      </c>
      <c r="J18" s="141">
        <v>0.97599999999999998</v>
      </c>
      <c r="K18" s="141">
        <v>0.97599999999999998</v>
      </c>
      <c r="L18" s="141">
        <v>0.97599999999999998</v>
      </c>
      <c r="M18" s="141">
        <v>0.97599999999999998</v>
      </c>
      <c r="N18" s="141">
        <v>0.97599999999999998</v>
      </c>
      <c r="O18" s="141">
        <v>0.97599999999999998</v>
      </c>
    </row>
    <row r="19" spans="2:15" x14ac:dyDescent="0.25">
      <c r="B19" s="95" t="s">
        <v>62</v>
      </c>
      <c r="C19" s="141">
        <v>1</v>
      </c>
      <c r="D19" s="141">
        <v>1</v>
      </c>
      <c r="E19" s="141">
        <v>0.97599999999999998</v>
      </c>
      <c r="F19" s="141">
        <v>0.97599999999999998</v>
      </c>
      <c r="G19" s="141">
        <v>0.97599999999999998</v>
      </c>
      <c r="H19" s="141">
        <v>0.97599999999999998</v>
      </c>
      <c r="I19" s="141">
        <v>0.97599999999999998</v>
      </c>
      <c r="J19" s="141">
        <v>0.97599999999999998</v>
      </c>
      <c r="K19" s="141">
        <v>0.97599999999999998</v>
      </c>
      <c r="L19" s="141">
        <v>0.97599999999999998</v>
      </c>
      <c r="M19" s="141">
        <v>0.97599999999999998</v>
      </c>
      <c r="N19" s="141">
        <v>0.97599999999999998</v>
      </c>
      <c r="O19" s="141">
        <v>0.97599999999999998</v>
      </c>
    </row>
    <row r="20" spans="2:15" x14ac:dyDescent="0.25">
      <c r="B20" s="95" t="s">
        <v>47</v>
      </c>
      <c r="C20" s="141">
        <v>1</v>
      </c>
      <c r="D20" s="141">
        <v>1</v>
      </c>
      <c r="E20" s="141">
        <v>0.97599999999999998</v>
      </c>
      <c r="F20" s="141">
        <v>0.97599999999999998</v>
      </c>
      <c r="G20" s="141">
        <v>0.97599999999999998</v>
      </c>
      <c r="H20" s="141">
        <v>0.97599999999999998</v>
      </c>
      <c r="I20" s="141">
        <v>0.97599999999999998</v>
      </c>
      <c r="J20" s="141">
        <v>0.97599999999999998</v>
      </c>
      <c r="K20" s="141">
        <v>0.97599999999999998</v>
      </c>
      <c r="L20" s="141">
        <v>0.97599999999999998</v>
      </c>
      <c r="M20" s="141">
        <v>0.97599999999999998</v>
      </c>
      <c r="N20" s="141">
        <v>0.97599999999999998</v>
      </c>
      <c r="O20" s="141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workbookViewId="0">
      <selection activeCell="D5" sqref="D5:G5"/>
    </sheetView>
  </sheetViews>
  <sheetFormatPr defaultColWidth="12.7265625" defaultRowHeight="12.5" x14ac:dyDescent="0.25"/>
  <cols>
    <col min="1" max="1" width="21.26953125" style="35" customWidth="1"/>
    <col min="2" max="2" width="27.26953125" style="35" customWidth="1"/>
    <col min="3" max="7" width="15.54296875" style="35" customWidth="1"/>
    <col min="8" max="16384" width="12.7265625" style="35"/>
  </cols>
  <sheetData>
    <row r="1" spans="1:7" ht="13" x14ac:dyDescent="0.3">
      <c r="A1" s="40"/>
      <c r="B1" s="124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264</v>
      </c>
    </row>
    <row r="3" spans="1:7" x14ac:dyDescent="0.25">
      <c r="B3" s="63" t="s">
        <v>67</v>
      </c>
      <c r="C3" s="141">
        <v>1</v>
      </c>
      <c r="D3" s="141">
        <v>0.22</v>
      </c>
      <c r="E3" s="141">
        <v>0.22</v>
      </c>
      <c r="F3" s="141">
        <v>0.22</v>
      </c>
      <c r="G3" s="141">
        <v>0.22</v>
      </c>
    </row>
    <row r="4" spans="1:7" ht="13" x14ac:dyDescent="0.3">
      <c r="A4" s="40" t="s">
        <v>265</v>
      </c>
      <c r="B4" s="63"/>
      <c r="C4" s="132"/>
      <c r="D4" s="132"/>
      <c r="E4" s="132"/>
      <c r="F4" s="132"/>
      <c r="G4" s="132"/>
    </row>
    <row r="5" spans="1:7" x14ac:dyDescent="0.25">
      <c r="B5" s="95" t="s">
        <v>183</v>
      </c>
      <c r="C5" s="141">
        <v>1</v>
      </c>
      <c r="D5" s="141">
        <v>0.16</v>
      </c>
      <c r="E5" s="141">
        <v>0.16</v>
      </c>
      <c r="F5" s="141">
        <v>0.16</v>
      </c>
      <c r="G5" s="141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49"/>
  <sheetViews>
    <sheetView topLeftCell="C11" zoomScale="111" workbookViewId="0">
      <selection activeCell="E43" sqref="E43"/>
    </sheetView>
  </sheetViews>
  <sheetFormatPr defaultColWidth="12.7265625" defaultRowHeight="12.5" x14ac:dyDescent="0.25"/>
  <cols>
    <col min="1" max="1" width="53" style="52" customWidth="1"/>
    <col min="2" max="2" width="30.54296875" style="52" customWidth="1"/>
    <col min="3" max="3" width="24.7265625" style="52" customWidth="1"/>
    <col min="4" max="4" width="15" style="35" customWidth="1"/>
    <col min="5" max="5" width="13.7265625" style="35" customWidth="1"/>
    <col min="6" max="6" width="14.453125" style="35" customWidth="1"/>
    <col min="7" max="7" width="12.7265625" style="35"/>
    <col min="8" max="8" width="17.54296875" style="35" customWidth="1"/>
    <col min="9" max="16384" width="12.7265625" style="35"/>
  </cols>
  <sheetData>
    <row r="1" spans="1:9" ht="13" x14ac:dyDescent="0.3">
      <c r="A1" s="40" t="s">
        <v>69</v>
      </c>
      <c r="B1" s="40" t="s">
        <v>266</v>
      </c>
      <c r="C1" s="130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1">
        <v>0</v>
      </c>
      <c r="E2" s="141">
        <v>0</v>
      </c>
      <c r="F2" s="141">
        <v>0.33500000000000002</v>
      </c>
      <c r="G2" s="141">
        <v>0.33500000000000002</v>
      </c>
      <c r="H2" s="141">
        <v>0.33500000000000002</v>
      </c>
    </row>
    <row r="3" spans="1:9" x14ac:dyDescent="0.25">
      <c r="C3" s="52" t="s">
        <v>269</v>
      </c>
      <c r="D3" s="141">
        <v>0</v>
      </c>
      <c r="E3" s="141">
        <v>0</v>
      </c>
      <c r="F3" s="141">
        <v>0.36</v>
      </c>
      <c r="G3" s="141">
        <v>0.36</v>
      </c>
      <c r="H3" s="141">
        <v>0.36</v>
      </c>
    </row>
    <row r="4" spans="1:9" x14ac:dyDescent="0.25">
      <c r="C4" s="52" t="s">
        <v>270</v>
      </c>
      <c r="D4" s="141">
        <v>0</v>
      </c>
      <c r="E4" s="141">
        <v>0</v>
      </c>
      <c r="F4" s="141">
        <v>0.45</v>
      </c>
      <c r="G4" s="141">
        <v>0.45</v>
      </c>
      <c r="H4" s="141">
        <v>0.45</v>
      </c>
    </row>
    <row r="5" spans="1:9" x14ac:dyDescent="0.25">
      <c r="A5" s="52" t="s">
        <v>58</v>
      </c>
      <c r="B5" s="52" t="s">
        <v>66</v>
      </c>
      <c r="C5" s="52" t="s">
        <v>268</v>
      </c>
      <c r="D5" s="141">
        <v>0</v>
      </c>
      <c r="E5" s="141">
        <v>0</v>
      </c>
      <c r="F5" s="141">
        <v>0.33500000000000002</v>
      </c>
      <c r="G5" s="141">
        <v>0.33500000000000002</v>
      </c>
      <c r="H5" s="141">
        <v>0.33500000000000002</v>
      </c>
    </row>
    <row r="6" spans="1:9" x14ac:dyDescent="0.25">
      <c r="C6" s="52" t="s">
        <v>270</v>
      </c>
      <c r="D6" s="141">
        <v>0</v>
      </c>
      <c r="E6" s="141">
        <v>0</v>
      </c>
      <c r="F6" s="141">
        <v>0.25970149253731345</v>
      </c>
      <c r="G6" s="141">
        <v>0.25970149253731345</v>
      </c>
      <c r="H6" s="141">
        <v>0</v>
      </c>
    </row>
    <row r="7" spans="1:9" x14ac:dyDescent="0.25">
      <c r="B7" s="52" t="s">
        <v>65</v>
      </c>
      <c r="C7" s="52" t="s">
        <v>268</v>
      </c>
      <c r="D7" s="141">
        <v>0</v>
      </c>
      <c r="E7" s="141">
        <v>0</v>
      </c>
      <c r="F7" s="141">
        <v>0.33500000000000002</v>
      </c>
      <c r="G7" s="141">
        <v>0.33500000000000002</v>
      </c>
      <c r="H7" s="141">
        <v>0.33500000000000002</v>
      </c>
    </row>
    <row r="8" spans="1:9" x14ac:dyDescent="0.25">
      <c r="C8" s="52" t="s">
        <v>270</v>
      </c>
      <c r="D8" s="141">
        <v>0</v>
      </c>
      <c r="E8" s="141">
        <v>0</v>
      </c>
      <c r="F8" s="141">
        <v>0.25970149253731345</v>
      </c>
      <c r="G8" s="141">
        <v>0.25970149253731345</v>
      </c>
      <c r="H8" s="141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1">
        <v>0</v>
      </c>
      <c r="E9" s="141">
        <v>0</v>
      </c>
      <c r="F9" s="141">
        <v>0.33500000000000002</v>
      </c>
      <c r="G9" s="141">
        <v>0.33500000000000002</v>
      </c>
      <c r="H9" s="141">
        <v>0.33500000000000002</v>
      </c>
    </row>
    <row r="10" spans="1:9" x14ac:dyDescent="0.25">
      <c r="C10" s="52" t="s">
        <v>270</v>
      </c>
      <c r="D10" s="141">
        <v>0</v>
      </c>
      <c r="E10" s="141">
        <v>0</v>
      </c>
      <c r="F10" s="141">
        <v>0.25970149253731345</v>
      </c>
      <c r="G10" s="141">
        <v>0.25970149253731345</v>
      </c>
      <c r="H10" s="141">
        <v>0</v>
      </c>
    </row>
    <row r="11" spans="1:9" x14ac:dyDescent="0.25">
      <c r="B11" s="52" t="s">
        <v>65</v>
      </c>
      <c r="C11" s="52" t="s">
        <v>268</v>
      </c>
      <c r="D11" s="141">
        <v>0</v>
      </c>
      <c r="E11" s="141">
        <v>0</v>
      </c>
      <c r="F11" s="141">
        <v>0.33500000000000002</v>
      </c>
      <c r="G11" s="141">
        <v>0.33500000000000002</v>
      </c>
      <c r="H11" s="141">
        <v>0.33500000000000002</v>
      </c>
    </row>
    <row r="12" spans="1:9" x14ac:dyDescent="0.25">
      <c r="C12" s="52" t="s">
        <v>270</v>
      </c>
      <c r="D12" s="141">
        <v>0</v>
      </c>
      <c r="E12" s="141">
        <v>0</v>
      </c>
      <c r="F12" s="141">
        <v>0.25970149253731345</v>
      </c>
      <c r="G12" s="141">
        <v>0.25970149253731345</v>
      </c>
      <c r="H12" s="141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1">
        <v>0</v>
      </c>
      <c r="E13" s="141">
        <v>0</v>
      </c>
      <c r="F13" s="141">
        <v>0.8</v>
      </c>
      <c r="G13" s="141">
        <v>0.8</v>
      </c>
      <c r="H13" s="141">
        <v>0.8</v>
      </c>
    </row>
    <row r="14" spans="1:9" x14ac:dyDescent="0.25">
      <c r="C14" s="52" t="s">
        <v>270</v>
      </c>
      <c r="D14" s="141">
        <v>0</v>
      </c>
      <c r="E14" s="141">
        <v>0</v>
      </c>
      <c r="F14" s="141">
        <v>0.85</v>
      </c>
      <c r="G14" s="141">
        <v>0.85</v>
      </c>
      <c r="H14" s="141">
        <v>0.85</v>
      </c>
      <c r="I14" s="36"/>
    </row>
    <row r="15" spans="1:9" x14ac:dyDescent="0.25">
      <c r="B15" s="52" t="s">
        <v>65</v>
      </c>
      <c r="C15" s="52" t="s">
        <v>268</v>
      </c>
      <c r="D15" s="141">
        <v>0</v>
      </c>
      <c r="E15" s="141">
        <v>0</v>
      </c>
      <c r="F15" s="141">
        <v>0.8</v>
      </c>
      <c r="G15" s="141">
        <v>0.8</v>
      </c>
      <c r="H15" s="141">
        <v>0.8</v>
      </c>
      <c r="I15" s="36"/>
    </row>
    <row r="16" spans="1:9" x14ac:dyDescent="0.25">
      <c r="C16" s="52" t="s">
        <v>270</v>
      </c>
      <c r="D16" s="141">
        <v>0</v>
      </c>
      <c r="E16" s="141">
        <v>0</v>
      </c>
      <c r="F16" s="141">
        <v>0.75</v>
      </c>
      <c r="G16" s="141">
        <v>0.75</v>
      </c>
      <c r="H16" s="141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268</v>
      </c>
      <c r="D17" s="141">
        <v>0.7</v>
      </c>
      <c r="E17" s="141">
        <v>0</v>
      </c>
      <c r="F17" s="141">
        <v>0</v>
      </c>
      <c r="G17" s="141">
        <v>0</v>
      </c>
      <c r="H17" s="141">
        <v>0</v>
      </c>
      <c r="I17" s="36"/>
    </row>
    <row r="18" spans="1:9" x14ac:dyDescent="0.25">
      <c r="C18" s="52" t="s">
        <v>269</v>
      </c>
      <c r="D18" s="141">
        <v>0.19</v>
      </c>
      <c r="E18" s="141">
        <v>0</v>
      </c>
      <c r="F18" s="141">
        <v>0</v>
      </c>
      <c r="G18" s="141">
        <v>0</v>
      </c>
      <c r="H18" s="141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268</v>
      </c>
      <c r="D19" s="141">
        <v>0.7</v>
      </c>
      <c r="E19" s="141">
        <v>0</v>
      </c>
      <c r="F19" s="141">
        <v>0</v>
      </c>
      <c r="G19" s="141">
        <v>0</v>
      </c>
      <c r="H19" s="141">
        <v>0</v>
      </c>
    </row>
    <row r="20" spans="1:9" x14ac:dyDescent="0.25">
      <c r="C20" s="52" t="s">
        <v>269</v>
      </c>
      <c r="D20" s="141">
        <v>0.19</v>
      </c>
      <c r="E20" s="141">
        <v>0</v>
      </c>
      <c r="F20" s="141">
        <v>0</v>
      </c>
      <c r="G20" s="141">
        <v>0</v>
      </c>
      <c r="H20" s="141">
        <v>0</v>
      </c>
    </row>
    <row r="21" spans="1:9" x14ac:dyDescent="0.25">
      <c r="A21" s="52" t="s">
        <v>64</v>
      </c>
      <c r="B21" s="52" t="s">
        <v>27</v>
      </c>
      <c r="C21" s="52" t="s">
        <v>268</v>
      </c>
      <c r="D21" s="141">
        <v>0.7</v>
      </c>
      <c r="E21" s="141">
        <v>0</v>
      </c>
      <c r="F21" s="141">
        <v>0</v>
      </c>
      <c r="G21" s="141">
        <v>0</v>
      </c>
      <c r="H21" s="141">
        <v>0</v>
      </c>
    </row>
    <row r="22" spans="1:9" x14ac:dyDescent="0.25">
      <c r="C22" s="52" t="s">
        <v>269</v>
      </c>
      <c r="D22" s="141">
        <v>0.19</v>
      </c>
      <c r="E22" s="141">
        <v>0</v>
      </c>
      <c r="F22" s="141">
        <v>0</v>
      </c>
      <c r="G22" s="141">
        <v>0</v>
      </c>
      <c r="H22" s="141">
        <v>0</v>
      </c>
    </row>
    <row r="23" spans="1:9" x14ac:dyDescent="0.25">
      <c r="A23" s="52" t="s">
        <v>79</v>
      </c>
      <c r="B23" s="52" t="s">
        <v>71</v>
      </c>
      <c r="C23" s="52" t="s">
        <v>268</v>
      </c>
      <c r="D23" s="141">
        <v>1</v>
      </c>
      <c r="E23" s="141">
        <v>1</v>
      </c>
      <c r="F23" s="141">
        <v>1</v>
      </c>
      <c r="G23" s="141">
        <v>1</v>
      </c>
      <c r="H23" s="141">
        <v>1</v>
      </c>
    </row>
    <row r="24" spans="1:9" x14ac:dyDescent="0.25">
      <c r="C24" s="52" t="s">
        <v>269</v>
      </c>
      <c r="D24" s="141">
        <v>0</v>
      </c>
      <c r="E24" s="141">
        <v>0</v>
      </c>
      <c r="F24" s="141">
        <v>0</v>
      </c>
      <c r="G24" s="141">
        <v>0</v>
      </c>
      <c r="H24" s="141">
        <v>0</v>
      </c>
    </row>
    <row r="25" spans="1:9" x14ac:dyDescent="0.25">
      <c r="C25" s="52" t="s">
        <v>270</v>
      </c>
      <c r="D25" s="141">
        <v>0</v>
      </c>
      <c r="E25" s="141">
        <v>0</v>
      </c>
      <c r="F25" s="141">
        <v>0</v>
      </c>
      <c r="G25" s="141">
        <v>0</v>
      </c>
      <c r="H25" s="141">
        <v>0</v>
      </c>
    </row>
    <row r="26" spans="1:9" x14ac:dyDescent="0.25">
      <c r="A26" s="52" t="s">
        <v>80</v>
      </c>
      <c r="B26" s="52" t="s">
        <v>71</v>
      </c>
      <c r="C26" s="52" t="s">
        <v>268</v>
      </c>
      <c r="D26" s="141">
        <v>1</v>
      </c>
      <c r="E26" s="141">
        <v>1</v>
      </c>
      <c r="F26" s="141">
        <v>1</v>
      </c>
      <c r="G26" s="141">
        <v>1</v>
      </c>
      <c r="H26" s="141">
        <v>1</v>
      </c>
    </row>
    <row r="27" spans="1:9" x14ac:dyDescent="0.25">
      <c r="C27" s="52" t="s">
        <v>269</v>
      </c>
      <c r="D27" s="141">
        <v>0</v>
      </c>
      <c r="E27" s="141">
        <v>0</v>
      </c>
      <c r="F27" s="141">
        <v>0</v>
      </c>
      <c r="G27" s="141">
        <v>0</v>
      </c>
      <c r="H27" s="141">
        <v>0</v>
      </c>
    </row>
    <row r="28" spans="1:9" x14ac:dyDescent="0.25">
      <c r="C28" s="52" t="s">
        <v>270</v>
      </c>
      <c r="D28" s="141">
        <v>0</v>
      </c>
      <c r="E28" s="141">
        <v>0</v>
      </c>
      <c r="F28" s="141">
        <v>0</v>
      </c>
      <c r="G28" s="141">
        <v>0</v>
      </c>
      <c r="H28" s="141">
        <v>0</v>
      </c>
    </row>
    <row r="29" spans="1:9" x14ac:dyDescent="0.25">
      <c r="A29" s="52" t="s">
        <v>81</v>
      </c>
      <c r="B29" s="52" t="s">
        <v>71</v>
      </c>
      <c r="C29" s="52" t="s">
        <v>268</v>
      </c>
      <c r="D29" s="141">
        <v>1</v>
      </c>
      <c r="E29" s="141">
        <v>1</v>
      </c>
      <c r="F29" s="141">
        <v>1</v>
      </c>
      <c r="G29" s="141">
        <v>1</v>
      </c>
      <c r="H29" s="141">
        <v>1</v>
      </c>
    </row>
    <row r="30" spans="1:9" x14ac:dyDescent="0.25">
      <c r="C30" s="52" t="s">
        <v>269</v>
      </c>
      <c r="D30" s="141">
        <v>0</v>
      </c>
      <c r="E30" s="141">
        <v>0</v>
      </c>
      <c r="F30" s="141">
        <v>0</v>
      </c>
      <c r="G30" s="141">
        <v>0</v>
      </c>
      <c r="H30" s="141">
        <v>0</v>
      </c>
    </row>
    <row r="31" spans="1:9" x14ac:dyDescent="0.25">
      <c r="C31" s="52" t="s">
        <v>270</v>
      </c>
      <c r="D31" s="141">
        <v>0</v>
      </c>
      <c r="E31" s="141">
        <v>0</v>
      </c>
      <c r="F31" s="141">
        <v>0</v>
      </c>
      <c r="G31" s="141">
        <v>0</v>
      </c>
      <c r="H31" s="141">
        <v>0</v>
      </c>
    </row>
    <row r="32" spans="1:9" x14ac:dyDescent="0.25">
      <c r="A32" s="52" t="s">
        <v>82</v>
      </c>
      <c r="B32" s="52" t="s">
        <v>71</v>
      </c>
      <c r="C32" s="52" t="s">
        <v>268</v>
      </c>
      <c r="D32" s="141">
        <v>1</v>
      </c>
      <c r="E32" s="141">
        <v>1</v>
      </c>
      <c r="F32" s="141">
        <v>1</v>
      </c>
      <c r="G32" s="141">
        <v>1</v>
      </c>
      <c r="H32" s="141">
        <v>1</v>
      </c>
    </row>
    <row r="33" spans="1:8" x14ac:dyDescent="0.25">
      <c r="C33" s="52" t="s">
        <v>269</v>
      </c>
      <c r="D33" s="141">
        <v>0</v>
      </c>
      <c r="E33" s="141">
        <v>0</v>
      </c>
      <c r="F33" s="141">
        <v>0</v>
      </c>
      <c r="G33" s="141">
        <v>0</v>
      </c>
      <c r="H33" s="141">
        <v>0</v>
      </c>
    </row>
    <row r="34" spans="1:8" x14ac:dyDescent="0.25">
      <c r="C34" s="52" t="s">
        <v>270</v>
      </c>
      <c r="D34" s="141">
        <v>0</v>
      </c>
      <c r="E34" s="141">
        <v>0</v>
      </c>
      <c r="F34" s="141">
        <v>0</v>
      </c>
      <c r="G34" s="141">
        <v>0</v>
      </c>
      <c r="H34" s="141">
        <v>0</v>
      </c>
    </row>
    <row r="35" spans="1:8" x14ac:dyDescent="0.25">
      <c r="A35" s="52" t="s">
        <v>83</v>
      </c>
      <c r="B35" s="52" t="s">
        <v>71</v>
      </c>
      <c r="C35" s="52" t="s">
        <v>268</v>
      </c>
      <c r="D35" s="141">
        <v>1</v>
      </c>
      <c r="E35" s="141">
        <v>1</v>
      </c>
      <c r="F35" s="141">
        <v>1</v>
      </c>
      <c r="G35" s="141">
        <v>1</v>
      </c>
      <c r="H35" s="141">
        <v>1</v>
      </c>
    </row>
    <row r="36" spans="1:8" x14ac:dyDescent="0.25">
      <c r="C36" s="52" t="s">
        <v>269</v>
      </c>
      <c r="D36" s="141">
        <v>0</v>
      </c>
      <c r="E36" s="141">
        <v>0</v>
      </c>
      <c r="F36" s="141">
        <v>0</v>
      </c>
      <c r="G36" s="141">
        <v>0</v>
      </c>
      <c r="H36" s="141">
        <v>0</v>
      </c>
    </row>
    <row r="37" spans="1:8" x14ac:dyDescent="0.25">
      <c r="C37" s="52" t="s">
        <v>270</v>
      </c>
      <c r="D37" s="141">
        <v>0</v>
      </c>
      <c r="E37" s="141">
        <v>0</v>
      </c>
      <c r="F37" s="141">
        <v>0</v>
      </c>
      <c r="G37" s="141">
        <v>0</v>
      </c>
      <c r="H37" s="141">
        <v>0</v>
      </c>
    </row>
    <row r="38" spans="1:8" x14ac:dyDescent="0.25">
      <c r="A38" s="52" t="s">
        <v>60</v>
      </c>
      <c r="B38" s="52" t="s">
        <v>71</v>
      </c>
      <c r="C38" s="52" t="s">
        <v>268</v>
      </c>
      <c r="D38" s="141">
        <v>0.3</v>
      </c>
      <c r="E38" s="141">
        <v>0.3</v>
      </c>
      <c r="F38" s="141">
        <v>0.3</v>
      </c>
      <c r="G38" s="141">
        <v>0.3</v>
      </c>
      <c r="H38" s="141">
        <v>0.3</v>
      </c>
    </row>
    <row r="39" spans="1:8" x14ac:dyDescent="0.25">
      <c r="C39" s="52" t="s">
        <v>269</v>
      </c>
      <c r="D39" s="141">
        <v>0.5</v>
      </c>
      <c r="E39" s="141">
        <v>0.5</v>
      </c>
      <c r="F39" s="141">
        <v>0.5</v>
      </c>
      <c r="G39" s="141">
        <v>0.5</v>
      </c>
      <c r="H39" s="141">
        <v>0.5</v>
      </c>
    </row>
    <row r="40" spans="1:8" x14ac:dyDescent="0.25">
      <c r="C40" s="52" t="s">
        <v>270</v>
      </c>
      <c r="D40" s="141">
        <v>0.65</v>
      </c>
      <c r="E40" s="141">
        <v>0.65</v>
      </c>
      <c r="F40" s="141">
        <v>0.65</v>
      </c>
      <c r="G40" s="141">
        <v>0.65</v>
      </c>
      <c r="H40" s="141">
        <v>0.65</v>
      </c>
    </row>
    <row r="41" spans="1:8" x14ac:dyDescent="0.25">
      <c r="B41" s="52" t="s">
        <v>16</v>
      </c>
      <c r="C41" s="52" t="s">
        <v>268</v>
      </c>
      <c r="D41" s="141">
        <v>0.3</v>
      </c>
      <c r="E41" s="141">
        <v>0.3</v>
      </c>
      <c r="F41" s="141">
        <v>0.3</v>
      </c>
      <c r="G41" s="141">
        <v>0.3</v>
      </c>
      <c r="H41" s="141">
        <v>0.3</v>
      </c>
    </row>
    <row r="42" spans="1:8" x14ac:dyDescent="0.25">
      <c r="C42" s="52" t="s">
        <v>269</v>
      </c>
      <c r="D42" s="141">
        <v>0.5</v>
      </c>
      <c r="E42" s="141">
        <v>0.5</v>
      </c>
      <c r="F42" s="141">
        <v>0.5</v>
      </c>
      <c r="G42" s="141">
        <v>0.5</v>
      </c>
      <c r="H42" s="141">
        <v>0.5</v>
      </c>
    </row>
    <row r="43" spans="1:8" x14ac:dyDescent="0.25">
      <c r="C43" s="52" t="s">
        <v>270</v>
      </c>
      <c r="D43" s="141">
        <v>0.63</v>
      </c>
      <c r="E43" s="141">
        <v>0.63</v>
      </c>
      <c r="F43" s="141">
        <v>0.63</v>
      </c>
      <c r="G43" s="141">
        <v>0.63</v>
      </c>
      <c r="H43" s="141">
        <v>0.63</v>
      </c>
    </row>
    <row r="44" spans="1:8" x14ac:dyDescent="0.25">
      <c r="A44" s="52" t="s">
        <v>84</v>
      </c>
      <c r="B44" s="52" t="s">
        <v>71</v>
      </c>
      <c r="C44" s="52" t="s">
        <v>268</v>
      </c>
      <c r="D44" s="141">
        <v>0.88</v>
      </c>
      <c r="E44" s="141">
        <v>0.88</v>
      </c>
      <c r="F44" s="141">
        <v>0.88</v>
      </c>
      <c r="G44" s="141">
        <v>0.88</v>
      </c>
      <c r="H44" s="141">
        <v>0.88</v>
      </c>
    </row>
    <row r="45" spans="1:8" x14ac:dyDescent="0.25">
      <c r="C45" s="52" t="s">
        <v>269</v>
      </c>
      <c r="D45" s="141">
        <v>0.8</v>
      </c>
      <c r="E45" s="141">
        <v>0.8</v>
      </c>
      <c r="F45" s="141">
        <v>0.8</v>
      </c>
      <c r="G45" s="141">
        <v>0.8</v>
      </c>
      <c r="H45" s="141">
        <v>0.8</v>
      </c>
    </row>
    <row r="46" spans="1:8" x14ac:dyDescent="0.25">
      <c r="A46" s="52" t="s">
        <v>85</v>
      </c>
      <c r="B46" s="52" t="s">
        <v>71</v>
      </c>
      <c r="C46" s="52" t="s">
        <v>268</v>
      </c>
      <c r="D46" s="141">
        <v>1</v>
      </c>
      <c r="E46" s="141">
        <v>1</v>
      </c>
      <c r="F46" s="141">
        <v>1</v>
      </c>
      <c r="G46" s="141">
        <v>1</v>
      </c>
      <c r="H46" s="141">
        <v>1</v>
      </c>
    </row>
    <row r="47" spans="1:8" x14ac:dyDescent="0.25">
      <c r="C47" s="52" t="s">
        <v>269</v>
      </c>
      <c r="D47" s="141">
        <v>0.76</v>
      </c>
      <c r="E47" s="141">
        <v>0.76</v>
      </c>
      <c r="F47" s="141">
        <v>0.76</v>
      </c>
      <c r="G47" s="141">
        <v>0.76</v>
      </c>
      <c r="H47" s="141">
        <v>0.76</v>
      </c>
    </row>
    <row r="48" spans="1:8" x14ac:dyDescent="0.25">
      <c r="A48" s="52" t="s">
        <v>196</v>
      </c>
      <c r="B48" s="52" t="s">
        <v>13</v>
      </c>
      <c r="C48" s="52" t="s">
        <v>268</v>
      </c>
      <c r="D48" s="141">
        <v>0.57999999999999996</v>
      </c>
      <c r="E48" s="141">
        <v>0</v>
      </c>
      <c r="F48" s="141">
        <v>0</v>
      </c>
      <c r="G48" s="141">
        <v>0</v>
      </c>
      <c r="H48" s="141">
        <v>0</v>
      </c>
    </row>
    <row r="49" spans="3:8" x14ac:dyDescent="0.25">
      <c r="C49" s="52" t="s">
        <v>269</v>
      </c>
      <c r="D49" s="141">
        <v>0.88</v>
      </c>
      <c r="E49" s="141">
        <v>0</v>
      </c>
      <c r="F49" s="141">
        <v>0</v>
      </c>
      <c r="G49" s="141">
        <v>0</v>
      </c>
      <c r="H49" s="14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topLeftCell="C1" workbookViewId="0">
      <selection activeCell="D7" sqref="D7:G7"/>
    </sheetView>
  </sheetViews>
  <sheetFormatPr defaultColWidth="12.7265625" defaultRowHeight="12.5" x14ac:dyDescent="0.25"/>
  <cols>
    <col min="1" max="1" width="28" style="35" customWidth="1"/>
    <col min="2" max="2" width="27.453125" style="35" customWidth="1"/>
    <col min="3" max="3" width="23.7265625" style="35" customWidth="1"/>
    <col min="4" max="7" width="17.26953125" style="35" customWidth="1"/>
    <col min="8" max="16384" width="12.7265625" style="35"/>
  </cols>
  <sheetData>
    <row r="1" spans="1:8" ht="13" x14ac:dyDescent="0.3">
      <c r="A1" s="124" t="s">
        <v>69</v>
      </c>
      <c r="B1" s="124" t="s">
        <v>266</v>
      </c>
      <c r="C1" s="124"/>
      <c r="D1" s="40" t="s">
        <v>53</v>
      </c>
      <c r="E1" s="40" t="s">
        <v>54</v>
      </c>
      <c r="F1" s="40" t="s">
        <v>55</v>
      </c>
      <c r="G1" s="40" t="s">
        <v>56</v>
      </c>
      <c r="H1" s="99"/>
    </row>
    <row r="2" spans="1:8" x14ac:dyDescent="0.25">
      <c r="A2" s="43" t="s">
        <v>86</v>
      </c>
      <c r="B2" s="35" t="s">
        <v>41</v>
      </c>
      <c r="C2" s="43" t="s">
        <v>268</v>
      </c>
      <c r="D2" s="141">
        <v>1</v>
      </c>
      <c r="E2" s="141">
        <v>1</v>
      </c>
      <c r="F2" s="141">
        <v>1</v>
      </c>
      <c r="G2" s="141">
        <v>1</v>
      </c>
      <c r="H2" s="95"/>
    </row>
    <row r="3" spans="1:8" x14ac:dyDescent="0.25">
      <c r="C3" s="35" t="s">
        <v>269</v>
      </c>
      <c r="D3" s="141">
        <v>0.2</v>
      </c>
      <c r="E3" s="141">
        <v>0.2</v>
      </c>
      <c r="F3" s="141">
        <v>0.2</v>
      </c>
      <c r="G3" s="141">
        <v>0.2</v>
      </c>
      <c r="H3" s="133"/>
    </row>
    <row r="4" spans="1:8" x14ac:dyDescent="0.25">
      <c r="A4" s="43" t="s">
        <v>87</v>
      </c>
      <c r="B4" s="35" t="s">
        <v>41</v>
      </c>
      <c r="C4" s="43" t="s">
        <v>268</v>
      </c>
      <c r="D4" s="141">
        <v>1</v>
      </c>
      <c r="E4" s="141">
        <v>1</v>
      </c>
      <c r="F4" s="141">
        <v>1</v>
      </c>
      <c r="G4" s="141">
        <v>1</v>
      </c>
      <c r="H4" s="133"/>
    </row>
    <row r="5" spans="1:8" x14ac:dyDescent="0.25">
      <c r="A5" s="36"/>
      <c r="C5" s="35" t="s">
        <v>269</v>
      </c>
      <c r="D5" s="141">
        <v>0.59</v>
      </c>
      <c r="E5" s="141">
        <v>0.59</v>
      </c>
      <c r="F5" s="141">
        <v>0.59</v>
      </c>
      <c r="G5" s="141">
        <v>0.59</v>
      </c>
      <c r="H5" s="95"/>
    </row>
    <row r="6" spans="1:8" x14ac:dyDescent="0.25">
      <c r="A6" s="43" t="s">
        <v>88</v>
      </c>
      <c r="B6" s="35" t="s">
        <v>41</v>
      </c>
      <c r="C6" s="43" t="s">
        <v>268</v>
      </c>
      <c r="D6" s="141">
        <v>1</v>
      </c>
      <c r="E6" s="141">
        <v>1</v>
      </c>
      <c r="F6" s="141">
        <v>1</v>
      </c>
      <c r="G6" s="141">
        <v>1</v>
      </c>
      <c r="H6" s="95"/>
    </row>
    <row r="7" spans="1:8" x14ac:dyDescent="0.25">
      <c r="A7" s="36"/>
      <c r="C7" s="35" t="s">
        <v>269</v>
      </c>
      <c r="D7" s="141">
        <v>0.59</v>
      </c>
      <c r="E7" s="141">
        <v>0.59</v>
      </c>
      <c r="F7" s="141">
        <v>0.59</v>
      </c>
      <c r="G7" s="141">
        <v>0.59</v>
      </c>
      <c r="H7" s="133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14" sqref="C14"/>
    </sheetView>
  </sheetViews>
  <sheetFormatPr defaultColWidth="14.453125" defaultRowHeight="15.75" customHeight="1" x14ac:dyDescent="0.25"/>
  <cols>
    <col min="1" max="1" width="16.1796875" customWidth="1"/>
    <col min="2" max="2" width="31.26953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3.5036780749999996E-2</v>
      </c>
    </row>
    <row r="4" spans="1:8" ht="15.75" customHeight="1" x14ac:dyDescent="0.25">
      <c r="B4" s="24" t="s">
        <v>7</v>
      </c>
      <c r="C4" s="79">
        <v>2.5373784720214752E-2</v>
      </c>
    </row>
    <row r="5" spans="1:8" ht="15.75" customHeight="1" x14ac:dyDescent="0.25">
      <c r="B5" s="24" t="s">
        <v>8</v>
      </c>
      <c r="C5" s="79">
        <v>4.9738047525380524E-2</v>
      </c>
    </row>
    <row r="6" spans="1:8" ht="15.75" customHeight="1" x14ac:dyDescent="0.25">
      <c r="B6" s="24" t="s">
        <v>10</v>
      </c>
      <c r="C6" s="79">
        <v>6.3370724770158746E-2</v>
      </c>
    </row>
    <row r="7" spans="1:8" ht="15.75" customHeight="1" x14ac:dyDescent="0.25">
      <c r="B7" s="24" t="s">
        <v>13</v>
      </c>
      <c r="C7" s="79">
        <v>0.40885600131107547</v>
      </c>
    </row>
    <row r="8" spans="1:8" ht="15.75" customHeight="1" x14ac:dyDescent="0.25">
      <c r="B8" s="24" t="s">
        <v>14</v>
      </c>
      <c r="C8" s="79">
        <v>5.0787090298915257E-5</v>
      </c>
    </row>
    <row r="9" spans="1:8" ht="15.75" customHeight="1" x14ac:dyDescent="0.25">
      <c r="B9" s="24" t="s">
        <v>27</v>
      </c>
      <c r="C9" s="79">
        <v>0.213940702982439</v>
      </c>
    </row>
    <row r="10" spans="1:8" ht="15.75" customHeight="1" x14ac:dyDescent="0.25">
      <c r="B10" s="24" t="s">
        <v>15</v>
      </c>
      <c r="C10" s="79">
        <v>0.20363317085043264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0.17040387760843501</v>
      </c>
      <c r="D14" s="79">
        <v>0.17040387760843501</v>
      </c>
      <c r="E14" s="79">
        <v>0.20493256773665303</v>
      </c>
      <c r="F14" s="79">
        <v>0.20493256773665303</v>
      </c>
    </row>
    <row r="15" spans="1:8" ht="15.75" customHeight="1" x14ac:dyDescent="0.25">
      <c r="B15" s="24" t="s">
        <v>16</v>
      </c>
      <c r="C15" s="79">
        <v>0.15374217670343801</v>
      </c>
      <c r="D15" s="79">
        <v>0.15374217670343801</v>
      </c>
      <c r="E15" s="79">
        <v>0.109554860897342</v>
      </c>
      <c r="F15" s="79">
        <v>0.109554860897342</v>
      </c>
    </row>
    <row r="16" spans="1:8" ht="15.75" customHeight="1" x14ac:dyDescent="0.25">
      <c r="B16" s="24" t="s">
        <v>17</v>
      </c>
      <c r="C16" s="79">
        <v>1.7307616743018998E-2</v>
      </c>
      <c r="D16" s="79">
        <v>1.7307616743018998E-2</v>
      </c>
      <c r="E16" s="79">
        <v>1.9430924606762299E-2</v>
      </c>
      <c r="F16" s="79">
        <v>1.9430924606762299E-2</v>
      </c>
    </row>
    <row r="17" spans="1:8" ht="15.75" customHeight="1" x14ac:dyDescent="0.25">
      <c r="B17" s="24" t="s">
        <v>18</v>
      </c>
      <c r="C17" s="79">
        <v>2.2829455500396798E-3</v>
      </c>
      <c r="D17" s="79">
        <v>2.2829455500396798E-3</v>
      </c>
      <c r="E17" s="79">
        <v>7.6146305755243589E-3</v>
      </c>
      <c r="F17" s="79">
        <v>7.6146305755243589E-3</v>
      </c>
    </row>
    <row r="18" spans="1:8" ht="15.75" customHeight="1" x14ac:dyDescent="0.25">
      <c r="B18" s="24" t="s">
        <v>19</v>
      </c>
      <c r="C18" s="79">
        <v>7.2115681699233096E-3</v>
      </c>
      <c r="D18" s="79">
        <v>7.2115681699233096E-3</v>
      </c>
      <c r="E18" s="79">
        <v>5.2559627287278608E-2</v>
      </c>
      <c r="F18" s="79">
        <v>5.2559627287278608E-2</v>
      </c>
    </row>
    <row r="19" spans="1:8" ht="15.75" customHeight="1" x14ac:dyDescent="0.25">
      <c r="B19" s="24" t="s">
        <v>20</v>
      </c>
      <c r="C19" s="79">
        <v>2.1744731271163401E-2</v>
      </c>
      <c r="D19" s="79">
        <v>2.1744731271163401E-2</v>
      </c>
      <c r="E19" s="79">
        <v>3.0434065285225E-2</v>
      </c>
      <c r="F19" s="79">
        <v>3.0434065285225E-2</v>
      </c>
    </row>
    <row r="20" spans="1:8" ht="15.75" customHeight="1" x14ac:dyDescent="0.25">
      <c r="B20" s="24" t="s">
        <v>21</v>
      </c>
      <c r="C20" s="79">
        <v>1.9196800547880501E-2</v>
      </c>
      <c r="D20" s="79">
        <v>1.9196800547880501E-2</v>
      </c>
      <c r="E20" s="79">
        <v>8.1617282303050407E-3</v>
      </c>
      <c r="F20" s="79">
        <v>8.1617282303050407E-3</v>
      </c>
    </row>
    <row r="21" spans="1:8" ht="15.75" customHeight="1" x14ac:dyDescent="0.25">
      <c r="B21" s="24" t="s">
        <v>22</v>
      </c>
      <c r="C21" s="79">
        <v>5.4764517611939401E-2</v>
      </c>
      <c r="D21" s="79">
        <v>5.4764517611939401E-2</v>
      </c>
      <c r="E21" s="79">
        <v>0.22963074376783499</v>
      </c>
      <c r="F21" s="79">
        <v>0.22963074376783499</v>
      </c>
    </row>
    <row r="22" spans="1:8" ht="15.75" customHeight="1" x14ac:dyDescent="0.25">
      <c r="B22" s="24" t="s">
        <v>23</v>
      </c>
      <c r="C22" s="79">
        <v>0.55334576579416173</v>
      </c>
      <c r="D22" s="79">
        <v>0.55334576579416173</v>
      </c>
      <c r="E22" s="79">
        <v>0.33768085161307471</v>
      </c>
      <c r="F22" s="79">
        <v>0.33768085161307471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4.6799999999999994E-2</v>
      </c>
    </row>
    <row r="27" spans="1:8" ht="15.75" customHeight="1" x14ac:dyDescent="0.25">
      <c r="B27" s="24" t="s">
        <v>39</v>
      </c>
      <c r="C27" s="79">
        <v>2.7699999999999999E-2</v>
      </c>
    </row>
    <row r="28" spans="1:8" ht="15.75" customHeight="1" x14ac:dyDescent="0.25">
      <c r="B28" s="24" t="s">
        <v>40</v>
      </c>
      <c r="C28" s="79">
        <v>0.19269999999999998</v>
      </c>
    </row>
    <row r="29" spans="1:8" ht="15.75" customHeight="1" x14ac:dyDescent="0.25">
      <c r="B29" s="24" t="s">
        <v>41</v>
      </c>
      <c r="C29" s="79">
        <v>0.15049999999999999</v>
      </c>
    </row>
    <row r="30" spans="1:8" ht="15.75" customHeight="1" x14ac:dyDescent="0.25">
      <c r="B30" s="24" t="s">
        <v>42</v>
      </c>
      <c r="C30" s="79">
        <v>0.05</v>
      </c>
    </row>
    <row r="31" spans="1:8" ht="15.75" customHeight="1" x14ac:dyDescent="0.25">
      <c r="B31" s="24" t="s">
        <v>43</v>
      </c>
      <c r="C31" s="79">
        <v>3.04E-2</v>
      </c>
    </row>
    <row r="32" spans="1:8" ht="15.75" customHeight="1" x14ac:dyDescent="0.25">
      <c r="B32" s="24" t="s">
        <v>44</v>
      </c>
      <c r="C32" s="79">
        <v>8.5600000000000009E-2</v>
      </c>
    </row>
    <row r="33" spans="2:3" ht="15.75" customHeight="1" x14ac:dyDescent="0.25">
      <c r="B33" s="24" t="s">
        <v>45</v>
      </c>
      <c r="C33" s="79">
        <v>0.16739999999999999</v>
      </c>
    </row>
    <row r="34" spans="2:3" ht="15.75" customHeight="1" x14ac:dyDescent="0.25">
      <c r="B34" s="24" t="s">
        <v>46</v>
      </c>
      <c r="C34" s="79">
        <v>0.24890000000000001</v>
      </c>
    </row>
    <row r="35" spans="2:3" ht="15.75" customHeight="1" x14ac:dyDescent="0.25">
      <c r="B35" s="32" t="s">
        <v>129</v>
      </c>
      <c r="C35" s="74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F14" sqref="F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0.68053179789551488</v>
      </c>
      <c r="D2" s="80">
        <v>0.68053179789551488</v>
      </c>
      <c r="E2" s="80">
        <v>0.52367260890845457</v>
      </c>
      <c r="F2" s="80">
        <v>0.30868917478100133</v>
      </c>
      <c r="G2" s="80">
        <v>0.28787206341481603</v>
      </c>
    </row>
    <row r="3" spans="1:15" ht="15.75" customHeight="1" x14ac:dyDescent="0.25">
      <c r="A3" s="5"/>
      <c r="B3" s="11" t="s">
        <v>118</v>
      </c>
      <c r="C3" s="80">
        <v>0.19815484703428227</v>
      </c>
      <c r="D3" s="80">
        <v>0.19815484703428227</v>
      </c>
      <c r="E3" s="80">
        <v>0.29137424319762967</v>
      </c>
      <c r="F3" s="80">
        <v>0.28958463301931076</v>
      </c>
      <c r="G3" s="80">
        <v>0.25968878447909977</v>
      </c>
    </row>
    <row r="4" spans="1:15" ht="15.75" customHeight="1" x14ac:dyDescent="0.25">
      <c r="A4" s="5"/>
      <c r="B4" s="11" t="s">
        <v>116</v>
      </c>
      <c r="C4" s="81">
        <v>6.8611651638065513E-2</v>
      </c>
      <c r="D4" s="81">
        <v>6.8611651638065513E-2</v>
      </c>
      <c r="E4" s="81">
        <v>0.1213133550702028</v>
      </c>
      <c r="F4" s="81">
        <v>0.21677304430577218</v>
      </c>
      <c r="G4" s="81">
        <v>0.22969987722308891</v>
      </c>
    </row>
    <row r="5" spans="1:15" ht="15.75" customHeight="1" x14ac:dyDescent="0.25">
      <c r="A5" s="5"/>
      <c r="B5" s="11" t="s">
        <v>119</v>
      </c>
      <c r="C5" s="81">
        <v>5.2701703432137273E-2</v>
      </c>
      <c r="D5" s="81">
        <v>5.2701703432137273E-2</v>
      </c>
      <c r="E5" s="81">
        <v>6.3639792823712932E-2</v>
      </c>
      <c r="F5" s="81">
        <v>0.18495314789391576</v>
      </c>
      <c r="G5" s="81">
        <v>0.22273927488299525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0.65941228265073948</v>
      </c>
      <c r="D8" s="80">
        <v>0.65941228265073948</v>
      </c>
      <c r="E8" s="80">
        <v>0.55489450268948659</v>
      </c>
      <c r="F8" s="80">
        <v>0.50154510057179169</v>
      </c>
      <c r="G8" s="80">
        <v>0.54495649636078436</v>
      </c>
    </row>
    <row r="9" spans="1:15" ht="15.75" customHeight="1" x14ac:dyDescent="0.25">
      <c r="B9" s="7" t="s">
        <v>121</v>
      </c>
      <c r="C9" s="80">
        <v>0.21220184734926054</v>
      </c>
      <c r="D9" s="80">
        <v>0.21220184734926054</v>
      </c>
      <c r="E9" s="80">
        <v>0.2498992973105135</v>
      </c>
      <c r="F9" s="80">
        <v>0.28007072942820838</v>
      </c>
      <c r="G9" s="80">
        <v>0.31125981030588229</v>
      </c>
    </row>
    <row r="10" spans="1:15" ht="15.75" customHeight="1" x14ac:dyDescent="0.25">
      <c r="B10" s="7" t="s">
        <v>122</v>
      </c>
      <c r="C10" s="81">
        <v>7.7954256E-2</v>
      </c>
      <c r="D10" s="81">
        <v>7.7954256E-2</v>
      </c>
      <c r="E10" s="81">
        <v>0.12478623999999999</v>
      </c>
      <c r="F10" s="81">
        <v>0.149623007</v>
      </c>
      <c r="G10" s="81">
        <v>0.10538505566666666</v>
      </c>
    </row>
    <row r="11" spans="1:15" ht="15.75" customHeight="1" x14ac:dyDescent="0.25">
      <c r="B11" s="7" t="s">
        <v>123</v>
      </c>
      <c r="C11" s="81">
        <v>5.0431614E-2</v>
      </c>
      <c r="D11" s="81">
        <v>5.0431614E-2</v>
      </c>
      <c r="E11" s="81">
        <v>7.0419960000000004E-2</v>
      </c>
      <c r="F11" s="81">
        <v>6.8761163E-2</v>
      </c>
      <c r="G11" s="81">
        <v>3.8398637666666666E-2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0.58450609649999996</v>
      </c>
      <c r="D14" s="82">
        <v>0.57874480719300003</v>
      </c>
      <c r="E14" s="82">
        <v>0.57874480719300003</v>
      </c>
      <c r="F14" s="82">
        <v>0.56689632875700002</v>
      </c>
      <c r="G14" s="82">
        <v>0.56689632875700002</v>
      </c>
      <c r="H14" s="83">
        <v>0.34100000000000003</v>
      </c>
      <c r="I14" s="83">
        <v>0.34100000000000003</v>
      </c>
      <c r="J14" s="83">
        <v>0.34100000000000003</v>
      </c>
      <c r="K14" s="83">
        <v>0.34100000000000003</v>
      </c>
      <c r="L14" s="83">
        <v>0.39114737605400002</v>
      </c>
      <c r="M14" s="83">
        <v>0.33264774289149995</v>
      </c>
      <c r="N14" s="83">
        <v>0.32375937976500002</v>
      </c>
      <c r="O14" s="83">
        <v>0.28284942568100002</v>
      </c>
    </row>
    <row r="15" spans="1:15" ht="15.75" customHeight="1" x14ac:dyDescent="0.25">
      <c r="B15" s="16" t="s">
        <v>68</v>
      </c>
      <c r="C15" s="80">
        <f>iron_deficiency_anaemia*C14</f>
        <v>0.28745518787941254</v>
      </c>
      <c r="D15" s="80">
        <f t="shared" ref="D15:O15" si="0">iron_deficiency_anaemia*D14</f>
        <v>0.2846218341982652</v>
      </c>
      <c r="E15" s="80">
        <f t="shared" si="0"/>
        <v>0.2846218341982652</v>
      </c>
      <c r="F15" s="80">
        <f t="shared" si="0"/>
        <v>0.27879485204136389</v>
      </c>
      <c r="G15" s="80">
        <f t="shared" si="0"/>
        <v>0.27879485204136389</v>
      </c>
      <c r="H15" s="80">
        <f t="shared" si="0"/>
        <v>0.16770093529192073</v>
      </c>
      <c r="I15" s="80">
        <f t="shared" si="0"/>
        <v>0.16770093529192073</v>
      </c>
      <c r="J15" s="80">
        <f t="shared" si="0"/>
        <v>0.16770093529192073</v>
      </c>
      <c r="K15" s="80">
        <f t="shared" si="0"/>
        <v>0.16770093529192073</v>
      </c>
      <c r="L15" s="80">
        <f t="shared" si="0"/>
        <v>0.19236299355201303</v>
      </c>
      <c r="M15" s="80">
        <f t="shared" si="0"/>
        <v>0.16359336541246605</v>
      </c>
      <c r="N15" s="80">
        <f t="shared" si="0"/>
        <v>0.15922214309713389</v>
      </c>
      <c r="O15" s="80">
        <f t="shared" si="0"/>
        <v>0.13910297135919744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E3" sqref="E3"/>
    </sheetView>
  </sheetViews>
  <sheetFormatPr defaultColWidth="8.81640625" defaultRowHeight="12.5" x14ac:dyDescent="0.25"/>
  <cols>
    <col min="1" max="1" width="28.8164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0.13300000000000001</v>
      </c>
      <c r="D2" s="81">
        <v>0.13300000000000001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0.126</v>
      </c>
      <c r="D3" s="81">
        <v>0.26899999999999996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7.9000000000000001E-2</v>
      </c>
      <c r="D4" s="81">
        <v>7.9000000000000001E-2</v>
      </c>
      <c r="E4" s="81">
        <v>0.21200000000000002</v>
      </c>
      <c r="F4" s="81">
        <v>0.49849999999999994</v>
      </c>
      <c r="G4" s="81">
        <v>0</v>
      </c>
    </row>
    <row r="5" spans="1:7" x14ac:dyDescent="0.25">
      <c r="B5" s="43" t="s">
        <v>169</v>
      </c>
      <c r="C5" s="80">
        <f>1-SUM(C2:C4)</f>
        <v>0.66199999999999992</v>
      </c>
      <c r="D5" s="80">
        <f>1-SUM(D2:D4)</f>
        <v>0.51900000000000002</v>
      </c>
      <c r="E5" s="80">
        <f>1-SUM(E2:E4)</f>
        <v>0.78800000000000003</v>
      </c>
      <c r="F5" s="80">
        <f>1-SUM(F2:F4)</f>
        <v>0.50150000000000006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zoomScale="110" zoomScaleNormal="110" workbookViewId="0">
      <selection activeCell="C4" sqref="C4"/>
    </sheetView>
  </sheetViews>
  <sheetFormatPr defaultColWidth="8.81640625" defaultRowHeight="12.5" x14ac:dyDescent="0.25"/>
  <cols>
    <col min="1" max="1" width="37" customWidth="1"/>
    <col min="2" max="2" width="29.453125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0.37630999999999998</v>
      </c>
      <c r="D2" s="144">
        <v>0.37337000000000004</v>
      </c>
      <c r="E2" s="144">
        <v>0.36982999999999999</v>
      </c>
      <c r="F2" s="144">
        <v>0.36569000000000002</v>
      </c>
      <c r="G2" s="144">
        <v>0.36112</v>
      </c>
      <c r="H2" s="144">
        <v>0.35491999999999996</v>
      </c>
      <c r="I2" s="144">
        <v>0.34877999999999998</v>
      </c>
      <c r="J2" s="144">
        <v>0.34273999999999999</v>
      </c>
      <c r="K2" s="144">
        <v>0.33681</v>
      </c>
      <c r="L2" s="144">
        <v>0.33100000000000002</v>
      </c>
      <c r="M2" s="144">
        <v>0.32531999999999994</v>
      </c>
      <c r="N2" s="144">
        <v>0.31973000000000001</v>
      </c>
      <c r="O2" s="144">
        <v>0.31420999999999999</v>
      </c>
      <c r="P2" s="144">
        <v>0.30876999999999999</v>
      </c>
    </row>
    <row r="3" spans="1:16" x14ac:dyDescent="0.25">
      <c r="B3" s="14"/>
      <c r="C3" s="142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</row>
    <row r="4" spans="1:16" x14ac:dyDescent="0.25">
      <c r="A4" t="s">
        <v>140</v>
      </c>
      <c r="B4" s="14" t="s">
        <v>143</v>
      </c>
      <c r="C4" s="28">
        <v>0.14224000000000001</v>
      </c>
      <c r="D4" s="144">
        <v>0.13664999999999999</v>
      </c>
      <c r="E4" s="144">
        <v>0.13122999999999999</v>
      </c>
      <c r="F4" s="144">
        <v>0.12601000000000001</v>
      </c>
      <c r="G4" s="144">
        <v>0.12098</v>
      </c>
      <c r="H4" s="144">
        <v>0.11635</v>
      </c>
      <c r="I4" s="144">
        <v>0.11189</v>
      </c>
      <c r="J4" s="144">
        <v>0.10759000000000001</v>
      </c>
      <c r="K4" s="144">
        <v>0.10346</v>
      </c>
      <c r="L4" s="144">
        <v>9.9469999999999989E-2</v>
      </c>
      <c r="M4" s="144">
        <v>9.5619999999999997E-2</v>
      </c>
      <c r="N4" s="144">
        <v>9.1929999999999998E-2</v>
      </c>
      <c r="O4" s="144">
        <v>8.8379999999999986E-2</v>
      </c>
      <c r="P4" s="144">
        <v>8.4970000000000004E-2</v>
      </c>
    </row>
    <row r="5" spans="1:16" x14ac:dyDescent="0.25">
      <c r="B5" s="14"/>
      <c r="C5" s="142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</row>
    <row r="6" spans="1:16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0.28000747103409662</v>
      </c>
      <c r="D6" s="144"/>
      <c r="E6" s="144"/>
      <c r="F6" s="144"/>
      <c r="G6" s="144"/>
      <c r="H6" s="144"/>
      <c r="I6" s="144"/>
      <c r="J6" s="144"/>
      <c r="K6" s="144"/>
      <c r="L6" s="144"/>
      <c r="M6" s="144"/>
      <c r="N6" s="144"/>
      <c r="O6" s="144"/>
      <c r="P6" s="144"/>
    </row>
    <row r="7" spans="1:16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0.16770093529192073</v>
      </c>
      <c r="D7" s="144"/>
      <c r="E7" s="144"/>
      <c r="F7" s="144"/>
      <c r="G7" s="144"/>
      <c r="H7" s="144"/>
      <c r="I7" s="144"/>
      <c r="J7" s="144"/>
      <c r="K7" s="144"/>
      <c r="L7" s="144"/>
      <c r="M7" s="144"/>
      <c r="N7" s="144"/>
      <c r="O7" s="144"/>
      <c r="P7" s="144"/>
    </row>
    <row r="8" spans="1:16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0.15945713618422969</v>
      </c>
      <c r="D8" s="144"/>
      <c r="E8" s="144"/>
      <c r="F8" s="144"/>
      <c r="G8" s="144"/>
      <c r="H8" s="144"/>
      <c r="I8" s="144"/>
      <c r="J8" s="144"/>
      <c r="K8" s="144"/>
      <c r="L8" s="144"/>
      <c r="M8" s="144"/>
      <c r="N8" s="144"/>
      <c r="O8" s="144"/>
      <c r="P8" s="144"/>
    </row>
    <row r="9" spans="1:16" x14ac:dyDescent="0.25">
      <c r="C9" s="142"/>
      <c r="D9" s="145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</row>
    <row r="10" spans="1:16" x14ac:dyDescent="0.25">
      <c r="A10" t="s">
        <v>142</v>
      </c>
      <c r="B10" s="16" t="s">
        <v>147</v>
      </c>
      <c r="C10" s="28">
        <f>('Breastfeeding distribution'!C2 + 5*'Breastfeeding distribution'!D2)/6</f>
        <v>0.13300000000000001</v>
      </c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</row>
    <row r="11" spans="1:16" x14ac:dyDescent="0.25">
      <c r="B11" s="34" t="s">
        <v>146</v>
      </c>
      <c r="C11" s="28">
        <f>('Breastfeeding distribution'!E4+2*'Breastfeeding distribution'!F4)/3</f>
        <v>0.40299999999999997</v>
      </c>
      <c r="D11" s="144"/>
      <c r="E11" s="144"/>
      <c r="F11" s="144"/>
      <c r="G11" s="144"/>
      <c r="H11" s="144"/>
      <c r="I11" s="144"/>
      <c r="J11" s="144"/>
      <c r="K11" s="144"/>
      <c r="L11" s="144"/>
      <c r="M11" s="144"/>
      <c r="N11" s="144"/>
      <c r="O11" s="144"/>
      <c r="P11" s="144"/>
    </row>
    <row r="12" spans="1:16" x14ac:dyDescent="0.25">
      <c r="C12" s="142"/>
    </row>
    <row r="13" spans="1:16" x14ac:dyDescent="0.25">
      <c r="A13" s="12" t="s">
        <v>74</v>
      </c>
      <c r="B13" s="34" t="s">
        <v>148</v>
      </c>
      <c r="C13" s="143">
        <v>47.66</v>
      </c>
      <c r="D13" s="143">
        <v>45.835000000000001</v>
      </c>
      <c r="E13" s="143">
        <v>44.121000000000002</v>
      </c>
      <c r="F13" s="143">
        <v>42.530999999999999</v>
      </c>
      <c r="G13" s="143">
        <v>41.040999999999997</v>
      </c>
      <c r="H13" s="143">
        <v>39.637999999999998</v>
      </c>
      <c r="I13" s="143">
        <v>38.335000000000001</v>
      </c>
      <c r="J13" s="143">
        <v>37.113</v>
      </c>
      <c r="K13" s="143">
        <v>35.960999999999999</v>
      </c>
      <c r="L13" s="143">
        <v>34.881</v>
      </c>
      <c r="M13" s="143">
        <v>34.042999999999999</v>
      </c>
      <c r="N13" s="143">
        <v>32.904000000000003</v>
      </c>
      <c r="O13" s="143">
        <v>32.069000000000003</v>
      </c>
      <c r="P13" s="143">
        <v>31.245000000000001</v>
      </c>
    </row>
    <row r="14" spans="1:16" x14ac:dyDescent="0.25">
      <c r="B14" s="16" t="s">
        <v>170</v>
      </c>
      <c r="C14" s="143">
        <f>maternal_mortality</f>
        <v>1.55</v>
      </c>
      <c r="D14" s="143"/>
      <c r="E14" s="143"/>
      <c r="F14" s="143"/>
      <c r="G14" s="143"/>
      <c r="H14" s="143"/>
      <c r="I14" s="143"/>
      <c r="J14" s="143"/>
      <c r="K14" s="143"/>
      <c r="L14" s="143"/>
      <c r="M14" s="143"/>
      <c r="N14" s="143"/>
      <c r="O14" s="143"/>
      <c r="P14" s="143"/>
    </row>
  </sheetData>
  <pageMargins left="0.7" right="0.7" top="0.75" bottom="0.75" header="0.3" footer="0.3"/>
  <pageSetup paperSize="193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3" sqref="D3"/>
    </sheetView>
  </sheetViews>
  <sheetFormatPr defaultColWidth="11.453125" defaultRowHeight="12.5" x14ac:dyDescent="0.25"/>
  <cols>
    <col min="1" max="1" width="17" style="35" customWidth="1"/>
    <col min="2" max="2" width="19.17968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/>
      <c r="D3" s="84" t="s">
        <v>194</v>
      </c>
      <c r="E3" s="61" t="str">
        <f>IF(E$7="","",E$7)</f>
        <v/>
      </c>
    </row>
    <row r="4" spans="1:5" x14ac:dyDescent="0.25">
      <c r="A4" s="47"/>
      <c r="B4" s="46" t="s">
        <v>2</v>
      </c>
      <c r="C4" s="84"/>
      <c r="D4" s="84" t="s">
        <v>194</v>
      </c>
      <c r="E4" s="61" t="str">
        <f>IF(E$7="","",E$7)</f>
        <v/>
      </c>
    </row>
    <row r="5" spans="1:5" x14ac:dyDescent="0.25">
      <c r="A5" s="47"/>
      <c r="B5" s="46" t="s">
        <v>3</v>
      </c>
      <c r="C5" s="84"/>
      <c r="D5" s="84" t="s">
        <v>194</v>
      </c>
      <c r="E5" s="61" t="str">
        <f>IF(E$7="","",E$7)</f>
        <v/>
      </c>
    </row>
    <row r="6" spans="1:5" x14ac:dyDescent="0.25">
      <c r="A6" s="47"/>
      <c r="B6" s="46" t="s">
        <v>4</v>
      </c>
      <c r="C6" s="84"/>
      <c r="D6" s="84" t="s">
        <v>194</v>
      </c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ht="13" x14ac:dyDescent="0.3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/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/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/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ht="13" x14ac:dyDescent="0.3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 t="s">
        <v>194</v>
      </c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customWidth="1"/>
    <col min="2" max="2" width="15.453125" customWidth="1"/>
    <col min="3" max="3" width="17.453125" customWidth="1"/>
    <col min="4" max="4" width="12.81640625" customWidth="1"/>
  </cols>
  <sheetData>
    <row r="1" spans="1:4" ht="13" x14ac:dyDescent="0.3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ht="13" x14ac:dyDescent="0.3">
      <c r="A2" s="65" t="s">
        <v>69</v>
      </c>
      <c r="B2" s="46" t="s">
        <v>67</v>
      </c>
      <c r="C2" s="46" t="s">
        <v>183</v>
      </c>
      <c r="D2" s="84"/>
    </row>
    <row r="3" spans="1:4" ht="13" x14ac:dyDescent="0.3">
      <c r="A3" s="65" t="s">
        <v>185</v>
      </c>
      <c r="B3" s="46" t="s">
        <v>176</v>
      </c>
      <c r="C3" s="46" t="s">
        <v>184</v>
      </c>
      <c r="D3" s="84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39"/>
  <sheetViews>
    <sheetView zoomScale="85" zoomScaleNormal="118" workbookViewId="0">
      <selection activeCell="E29" sqref="E29"/>
    </sheetView>
  </sheetViews>
  <sheetFormatPr defaultColWidth="14.453125" defaultRowHeight="15.75" customHeight="1" x14ac:dyDescent="0.25"/>
  <cols>
    <col min="1" max="1" width="20" bestFit="1" customWidth="1"/>
    <col min="2" max="2" width="45.81640625" customWidth="1"/>
    <col min="3" max="3" width="8.453125" bestFit="1" customWidth="1"/>
    <col min="4" max="4" width="10" bestFit="1" customWidth="1"/>
    <col min="5" max="5" width="10.81640625" bestFit="1" customWidth="1"/>
    <col min="6" max="7" width="11.81640625" bestFit="1" customWidth="1"/>
    <col min="8" max="11" width="13.81640625" bestFit="1" customWidth="1"/>
    <col min="12" max="15" width="15.17968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92">
        <v>0</v>
      </c>
      <c r="D2" s="92">
        <f>food_insecure</f>
        <v>0.10099999999999999</v>
      </c>
      <c r="E2" s="92">
        <f>food_insecure</f>
        <v>0.10099999999999999</v>
      </c>
      <c r="F2" s="92">
        <f>food_insecure</f>
        <v>0.10099999999999999</v>
      </c>
      <c r="G2" s="92">
        <f>food_insecure</f>
        <v>0.10099999999999999</v>
      </c>
      <c r="H2" s="93">
        <v>0</v>
      </c>
      <c r="I2" s="93">
        <v>0</v>
      </c>
      <c r="J2" s="93">
        <v>0</v>
      </c>
      <c r="K2" s="93">
        <v>0</v>
      </c>
      <c r="L2" s="93">
        <v>0</v>
      </c>
      <c r="M2" s="93">
        <v>0</v>
      </c>
      <c r="N2" s="93">
        <v>0</v>
      </c>
      <c r="O2" s="93">
        <v>0</v>
      </c>
    </row>
    <row r="3" spans="1:15" ht="15.75" customHeight="1" x14ac:dyDescent="0.25">
      <c r="B3" s="7" t="s">
        <v>149</v>
      </c>
      <c r="C3" s="92">
        <v>1</v>
      </c>
      <c r="D3" s="92">
        <v>0</v>
      </c>
      <c r="E3" s="92">
        <v>0</v>
      </c>
      <c r="F3" s="92">
        <v>0</v>
      </c>
      <c r="G3" s="92">
        <v>0</v>
      </c>
      <c r="H3" s="93">
        <v>0</v>
      </c>
      <c r="I3" s="93">
        <v>0</v>
      </c>
      <c r="J3" s="93">
        <v>0</v>
      </c>
      <c r="K3" s="93">
        <v>0</v>
      </c>
      <c r="L3" s="93">
        <v>0</v>
      </c>
      <c r="M3" s="93">
        <v>0</v>
      </c>
      <c r="N3" s="93">
        <v>0</v>
      </c>
      <c r="O3" s="93">
        <v>0</v>
      </c>
    </row>
    <row r="4" spans="1:15" ht="15.75" customHeight="1" x14ac:dyDescent="0.25">
      <c r="B4" s="7" t="s">
        <v>196</v>
      </c>
      <c r="C4" s="92">
        <v>1</v>
      </c>
      <c r="D4" s="92">
        <v>0</v>
      </c>
      <c r="E4" s="92">
        <v>0</v>
      </c>
      <c r="F4" s="92">
        <v>0</v>
      </c>
      <c r="G4" s="92">
        <v>0</v>
      </c>
      <c r="H4" s="93">
        <v>0</v>
      </c>
      <c r="I4" s="93">
        <v>0</v>
      </c>
      <c r="J4" s="93">
        <v>0</v>
      </c>
      <c r="K4" s="93">
        <v>0</v>
      </c>
      <c r="L4" s="93">
        <v>0</v>
      </c>
      <c r="M4" s="93">
        <v>0</v>
      </c>
      <c r="N4" s="93">
        <v>0</v>
      </c>
      <c r="O4" s="93">
        <v>0</v>
      </c>
    </row>
    <row r="5" spans="1:15" ht="15.75" customHeight="1" x14ac:dyDescent="0.25">
      <c r="B5" s="11" t="s">
        <v>136</v>
      </c>
      <c r="C5" s="92">
        <v>0</v>
      </c>
      <c r="D5" s="92">
        <v>0</v>
      </c>
      <c r="E5" s="92">
        <f>food_insecure</f>
        <v>0.10099999999999999</v>
      </c>
      <c r="F5" s="92">
        <f>food_insecure</f>
        <v>0.10099999999999999</v>
      </c>
      <c r="G5" s="92">
        <v>0</v>
      </c>
      <c r="H5" s="93">
        <v>0</v>
      </c>
      <c r="I5" s="93">
        <v>0</v>
      </c>
      <c r="J5" s="93">
        <v>0</v>
      </c>
      <c r="K5" s="93">
        <v>0</v>
      </c>
      <c r="L5" s="93">
        <v>0</v>
      </c>
      <c r="M5" s="93">
        <v>0</v>
      </c>
      <c r="N5" s="93">
        <v>0</v>
      </c>
      <c r="O5" s="93">
        <v>0</v>
      </c>
    </row>
    <row r="6" spans="1:15" ht="15.75" customHeight="1" x14ac:dyDescent="0.25">
      <c r="B6" s="11" t="s">
        <v>137</v>
      </c>
      <c r="C6" s="92">
        <v>0</v>
      </c>
      <c r="D6" s="92">
        <v>0</v>
      </c>
      <c r="E6" s="92">
        <f>1</f>
        <v>1</v>
      </c>
      <c r="F6" s="92">
        <f>1</f>
        <v>1</v>
      </c>
      <c r="G6" s="92">
        <f>1</f>
        <v>1</v>
      </c>
      <c r="H6" s="93">
        <v>0</v>
      </c>
      <c r="I6" s="93">
        <v>0</v>
      </c>
      <c r="J6" s="93">
        <v>0</v>
      </c>
      <c r="K6" s="93">
        <v>0</v>
      </c>
      <c r="L6" s="93">
        <v>0</v>
      </c>
      <c r="M6" s="93">
        <v>0</v>
      </c>
      <c r="N6" s="93">
        <v>0</v>
      </c>
      <c r="O6" s="93">
        <v>0</v>
      </c>
    </row>
    <row r="7" spans="1:15" ht="15.75" customHeight="1" x14ac:dyDescent="0.25">
      <c r="B7" s="33" t="s">
        <v>84</v>
      </c>
      <c r="C7" s="92">
        <f>diarrhoea_1mo/26</f>
        <v>0.19738088358509612</v>
      </c>
      <c r="D7" s="92">
        <f>diarrhoea_1_5mo/26</f>
        <v>0.20366719564923075</v>
      </c>
      <c r="E7" s="92">
        <f>diarrhoea_6_11mo/26</f>
        <v>0.20366719564923075</v>
      </c>
      <c r="F7" s="92">
        <f>diarrhoea_12_23mo/26</f>
        <v>0.14834927750115384</v>
      </c>
      <c r="G7" s="92">
        <f>diarrhoea_24_59mo/26</f>
        <v>0.14834927750115384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</row>
    <row r="8" spans="1:15" ht="15.75" customHeight="1" x14ac:dyDescent="0.25">
      <c r="B8" s="11" t="s">
        <v>58</v>
      </c>
      <c r="C8" s="92">
        <v>0</v>
      </c>
      <c r="D8" s="92">
        <v>0</v>
      </c>
      <c r="E8" s="92">
        <f>food_insecure</f>
        <v>0.10099999999999999</v>
      </c>
      <c r="F8" s="92">
        <f>food_insecure</f>
        <v>0.10099999999999999</v>
      </c>
      <c r="G8" s="92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</row>
    <row r="9" spans="1:15" ht="15.75" customHeight="1" x14ac:dyDescent="0.25">
      <c r="B9" s="11" t="s">
        <v>67</v>
      </c>
      <c r="C9" s="92">
        <v>0</v>
      </c>
      <c r="D9" s="92">
        <f>IF(ISBLANK(comm_deliv), frac_children_health_facility,1)</f>
        <v>0.48299999999999998</v>
      </c>
      <c r="E9" s="92">
        <f>IF(ISBLANK(comm_deliv), frac_children_health_facility,1)</f>
        <v>0.48299999999999998</v>
      </c>
      <c r="F9" s="92">
        <f>IF(ISBLANK(comm_deliv), frac_children_health_facility,1)</f>
        <v>0.48299999999999998</v>
      </c>
      <c r="G9" s="92">
        <f>IF(ISBLANK(comm_deliv), frac_children_health_facility,1)</f>
        <v>0.48299999999999998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</row>
    <row r="10" spans="1:15" ht="15" customHeight="1" x14ac:dyDescent="0.25">
      <c r="B10" s="11" t="s">
        <v>28</v>
      </c>
      <c r="C10" s="92">
        <v>0</v>
      </c>
      <c r="D10" s="92">
        <v>0</v>
      </c>
      <c r="E10" s="92">
        <v>1</v>
      </c>
      <c r="F10" s="92">
        <v>1</v>
      </c>
      <c r="G10" s="92">
        <v>1</v>
      </c>
      <c r="H10" s="93">
        <v>0</v>
      </c>
      <c r="I10" s="93">
        <v>0</v>
      </c>
      <c r="J10" s="93">
        <v>0</v>
      </c>
      <c r="K10" s="93">
        <v>0</v>
      </c>
      <c r="L10" s="93">
        <v>0</v>
      </c>
      <c r="M10" s="93">
        <v>0</v>
      </c>
      <c r="N10" s="93">
        <v>0</v>
      </c>
      <c r="O10" s="93">
        <v>0</v>
      </c>
    </row>
    <row r="11" spans="1:15" ht="15.75" customHeight="1" x14ac:dyDescent="0.25">
      <c r="B11" s="33" t="s">
        <v>85</v>
      </c>
      <c r="C11" s="92">
        <f>diarrhoea_1mo/26</f>
        <v>0.19738088358509612</v>
      </c>
      <c r="D11" s="92">
        <f>diarrhoea_1_5mo/26</f>
        <v>0.20366719564923075</v>
      </c>
      <c r="E11" s="92">
        <f>diarrhoea_6_11mo/26</f>
        <v>0.20366719564923075</v>
      </c>
      <c r="F11" s="92">
        <f>diarrhoea_12_23mo/26</f>
        <v>0.14834927750115384</v>
      </c>
      <c r="G11" s="92">
        <f>diarrhoea_24_59mo/26</f>
        <v>0.14834927750115384</v>
      </c>
      <c r="H11" s="93">
        <v>0</v>
      </c>
      <c r="I11" s="93">
        <v>0</v>
      </c>
      <c r="J11" s="93">
        <v>0</v>
      </c>
      <c r="K11" s="93">
        <v>0</v>
      </c>
      <c r="L11" s="93">
        <v>0</v>
      </c>
      <c r="M11" s="93">
        <v>0</v>
      </c>
      <c r="N11" s="93">
        <v>0</v>
      </c>
      <c r="O11" s="93">
        <v>0</v>
      </c>
    </row>
    <row r="12" spans="1:15" ht="15.75" customHeight="1" x14ac:dyDescent="0.25">
      <c r="B12" s="11" t="s">
        <v>60</v>
      </c>
      <c r="C12" s="92">
        <v>0</v>
      </c>
      <c r="D12" s="92">
        <v>0</v>
      </c>
      <c r="E12" s="92">
        <v>1</v>
      </c>
      <c r="F12" s="92">
        <v>1</v>
      </c>
      <c r="G12" s="92">
        <v>1</v>
      </c>
      <c r="H12" s="93">
        <v>0</v>
      </c>
      <c r="I12" s="93">
        <v>0</v>
      </c>
      <c r="J12" s="93">
        <v>0</v>
      </c>
      <c r="K12" s="93">
        <v>0</v>
      </c>
      <c r="L12" s="93">
        <v>0</v>
      </c>
      <c r="M12" s="93">
        <v>0</v>
      </c>
      <c r="N12" s="93">
        <v>0</v>
      </c>
      <c r="O12" s="93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93">
        <v>0</v>
      </c>
      <c r="D14" s="93">
        <v>0</v>
      </c>
      <c r="E14" s="93">
        <v>0</v>
      </c>
      <c r="F14" s="93">
        <v>0</v>
      </c>
      <c r="G14" s="93">
        <v>0</v>
      </c>
      <c r="H14" s="92">
        <f>food_insecure</f>
        <v>0.10099999999999999</v>
      </c>
      <c r="I14" s="92">
        <f>food_insecure</f>
        <v>0.10099999999999999</v>
      </c>
      <c r="J14" s="92">
        <f>food_insecure</f>
        <v>0.10099999999999999</v>
      </c>
      <c r="K14" s="92">
        <f>food_insecure</f>
        <v>0.10099999999999999</v>
      </c>
      <c r="L14" s="93">
        <v>0</v>
      </c>
      <c r="M14" s="93">
        <v>0</v>
      </c>
      <c r="N14" s="93">
        <v>0</v>
      </c>
      <c r="O14" s="93">
        <v>0</v>
      </c>
    </row>
    <row r="15" spans="1:15" ht="15.75" customHeight="1" x14ac:dyDescent="0.3">
      <c r="A15" s="4"/>
      <c r="B15" s="11" t="s">
        <v>86</v>
      </c>
      <c r="C15" s="93">
        <v>0</v>
      </c>
      <c r="D15" s="93">
        <v>0</v>
      </c>
      <c r="E15" s="93">
        <v>0</v>
      </c>
      <c r="F15" s="93">
        <v>0</v>
      </c>
      <c r="G15" s="93">
        <v>0</v>
      </c>
      <c r="H15" s="92">
        <v>1</v>
      </c>
      <c r="I15" s="92">
        <v>1</v>
      </c>
      <c r="J15" s="92">
        <v>1</v>
      </c>
      <c r="K15" s="92">
        <v>1</v>
      </c>
      <c r="L15" s="93">
        <v>0</v>
      </c>
      <c r="M15" s="93">
        <v>0</v>
      </c>
      <c r="N15" s="93">
        <v>0</v>
      </c>
      <c r="O15" s="93">
        <v>0</v>
      </c>
    </row>
    <row r="16" spans="1:15" ht="15.75" customHeight="1" x14ac:dyDescent="0.3">
      <c r="A16" s="4"/>
      <c r="B16" s="11" t="s">
        <v>187</v>
      </c>
      <c r="C16" s="93">
        <v>0</v>
      </c>
      <c r="D16" s="93">
        <v>0</v>
      </c>
      <c r="E16" s="93">
        <v>0</v>
      </c>
      <c r="F16" s="93">
        <v>0</v>
      </c>
      <c r="G16" s="93">
        <v>0</v>
      </c>
      <c r="H16" s="92">
        <f xml:space="preserve"> 1</f>
        <v>1</v>
      </c>
      <c r="I16" s="92">
        <f xml:space="preserve"> 1</f>
        <v>1</v>
      </c>
      <c r="J16" s="92">
        <f xml:space="preserve"> 1</f>
        <v>1</v>
      </c>
      <c r="K16" s="92">
        <f xml:space="preserve"> 1</f>
        <v>1</v>
      </c>
      <c r="L16" s="93">
        <v>0</v>
      </c>
      <c r="M16" s="93">
        <v>0</v>
      </c>
      <c r="N16" s="93">
        <v>0</v>
      </c>
      <c r="O16" s="93">
        <v>0</v>
      </c>
    </row>
    <row r="17" spans="1:15" ht="15.75" customHeight="1" x14ac:dyDescent="0.3">
      <c r="A17" s="4"/>
      <c r="B17" s="11" t="s">
        <v>209</v>
      </c>
      <c r="C17" s="93">
        <v>0</v>
      </c>
      <c r="D17" s="93">
        <v>0</v>
      </c>
      <c r="E17" s="93">
        <v>0</v>
      </c>
      <c r="F17" s="93">
        <v>0</v>
      </c>
      <c r="G17" s="93">
        <v>0</v>
      </c>
      <c r="H17" s="92">
        <f>frac_PW_health_facility</f>
        <v>0.50700000000000001</v>
      </c>
      <c r="I17" s="92">
        <f>frac_PW_health_facility</f>
        <v>0.50700000000000001</v>
      </c>
      <c r="J17" s="92">
        <f>frac_PW_health_facility</f>
        <v>0.50700000000000001</v>
      </c>
      <c r="K17" s="92">
        <f>frac_PW_health_facility</f>
        <v>0.50700000000000001</v>
      </c>
      <c r="L17" s="93">
        <v>0</v>
      </c>
      <c r="M17" s="93">
        <v>0</v>
      </c>
      <c r="N17" s="93">
        <v>0</v>
      </c>
      <c r="O17" s="93">
        <v>0</v>
      </c>
    </row>
    <row r="18" spans="1:15" ht="15" customHeight="1" x14ac:dyDescent="0.25">
      <c r="B18" s="33" t="s">
        <v>57</v>
      </c>
      <c r="C18" s="93">
        <v>0</v>
      </c>
      <c r="D18" s="93">
        <v>0</v>
      </c>
      <c r="E18" s="93">
        <v>0</v>
      </c>
      <c r="F18" s="93">
        <v>0</v>
      </c>
      <c r="G18" s="93">
        <v>0</v>
      </c>
      <c r="H18" s="92">
        <f>frac_malaria_risk</f>
        <v>0.1</v>
      </c>
      <c r="I18" s="92">
        <f>frac_malaria_risk</f>
        <v>0.1</v>
      </c>
      <c r="J18" s="92">
        <f>frac_malaria_risk</f>
        <v>0.1</v>
      </c>
      <c r="K18" s="92">
        <f>frac_malaria_risk</f>
        <v>0.1</v>
      </c>
      <c r="L18" s="93">
        <v>0</v>
      </c>
      <c r="M18" s="93">
        <v>0</v>
      </c>
      <c r="N18" s="93">
        <v>0</v>
      </c>
      <c r="O18" s="93">
        <v>0</v>
      </c>
    </row>
    <row r="19" spans="1:15" ht="15.75" customHeight="1" x14ac:dyDescent="0.25">
      <c r="B19" s="11" t="s">
        <v>88</v>
      </c>
      <c r="C19" s="93">
        <v>0</v>
      </c>
      <c r="D19" s="93">
        <v>0</v>
      </c>
      <c r="E19" s="93">
        <v>0</v>
      </c>
      <c r="F19" s="93">
        <v>0</v>
      </c>
      <c r="G19" s="93">
        <v>0</v>
      </c>
      <c r="H19" s="92">
        <v>1</v>
      </c>
      <c r="I19" s="92">
        <v>1</v>
      </c>
      <c r="J19" s="92">
        <v>1</v>
      </c>
      <c r="K19" s="92">
        <v>1</v>
      </c>
      <c r="L19" s="93">
        <v>0</v>
      </c>
      <c r="M19" s="93">
        <v>0</v>
      </c>
      <c r="N19" s="93">
        <v>0</v>
      </c>
      <c r="O19" s="93">
        <v>0</v>
      </c>
    </row>
    <row r="20" spans="1:15" ht="15.75" customHeight="1" x14ac:dyDescent="0.25">
      <c r="B20" s="11" t="s">
        <v>87</v>
      </c>
      <c r="C20" s="93">
        <v>0</v>
      </c>
      <c r="D20" s="93">
        <v>0</v>
      </c>
      <c r="E20" s="93">
        <v>0</v>
      </c>
      <c r="F20" s="93">
        <v>0</v>
      </c>
      <c r="G20" s="93">
        <v>0</v>
      </c>
      <c r="H20" s="92">
        <v>1</v>
      </c>
      <c r="I20" s="92">
        <v>1</v>
      </c>
      <c r="J20" s="92">
        <v>1</v>
      </c>
      <c r="K20" s="92">
        <v>1</v>
      </c>
      <c r="L20" s="93">
        <v>0</v>
      </c>
      <c r="M20" s="93">
        <v>0</v>
      </c>
      <c r="N20" s="93">
        <v>0</v>
      </c>
      <c r="O20" s="93">
        <v>0</v>
      </c>
    </row>
    <row r="21" spans="1:15" ht="15.75" customHeight="1" x14ac:dyDescent="0.25">
      <c r="B21" s="33" t="s">
        <v>59</v>
      </c>
      <c r="C21" s="93">
        <v>0</v>
      </c>
      <c r="D21" s="93">
        <v>0</v>
      </c>
      <c r="E21" s="93">
        <v>0</v>
      </c>
      <c r="F21" s="93">
        <v>0</v>
      </c>
      <c r="G21" s="93">
        <v>0</v>
      </c>
      <c r="H21" s="92">
        <f>1</f>
        <v>1</v>
      </c>
      <c r="I21" s="92">
        <f>1</f>
        <v>1</v>
      </c>
      <c r="J21" s="92">
        <f>1</f>
        <v>1</v>
      </c>
      <c r="K21" s="92">
        <f>1</f>
        <v>1</v>
      </c>
      <c r="L21" s="93">
        <v>0</v>
      </c>
      <c r="M21" s="93">
        <v>0</v>
      </c>
      <c r="N21" s="93">
        <v>0</v>
      </c>
      <c r="O21" s="93">
        <v>0</v>
      </c>
    </row>
    <row r="22" spans="1:15" ht="15.75" customHeight="1" x14ac:dyDescent="0.25">
      <c r="B22" s="33"/>
    </row>
    <row r="23" spans="1:15" ht="15.75" customHeight="1" x14ac:dyDescent="0.3">
      <c r="A23" s="62" t="s">
        <v>37</v>
      </c>
      <c r="B23" s="63" t="s">
        <v>198</v>
      </c>
      <c r="C23" s="93">
        <v>0</v>
      </c>
      <c r="D23" s="93">
        <v>0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93">
        <v>0</v>
      </c>
      <c r="L23" s="92">
        <f>famplan_unmet_need</f>
        <v>0.69799999999999995</v>
      </c>
      <c r="M23" s="92">
        <f>famplan_unmet_need</f>
        <v>0.69799999999999995</v>
      </c>
      <c r="N23" s="92">
        <f>famplan_unmet_need</f>
        <v>0.69799999999999995</v>
      </c>
      <c r="O23" s="92">
        <f>famplan_unmet_need</f>
        <v>0.69799999999999995</v>
      </c>
    </row>
    <row r="24" spans="1:15" ht="15.75" customHeight="1" x14ac:dyDescent="0.25">
      <c r="B24" s="63" t="s">
        <v>188</v>
      </c>
      <c r="C24" s="93">
        <v>0</v>
      </c>
      <c r="D24" s="93">
        <v>0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93">
        <v>0</v>
      </c>
      <c r="L24" s="92">
        <f>(1-food_insecure)*(0.49)*(1-school_attendance) + food_insecure*(0.7)*(1-school_attendance)</f>
        <v>0.35355477558078752</v>
      </c>
      <c r="M24" s="92">
        <f>(1-food_insecure)*(0.49)+food_insecure*(0.7)</f>
        <v>0.51120999999999994</v>
      </c>
      <c r="N24" s="92">
        <f>(1-food_insecure)*(0.49)+food_insecure*(0.7)</f>
        <v>0.51120999999999994</v>
      </c>
      <c r="O24" s="92">
        <f>(1-food_insecure)*(0.49)+food_insecure*(0.7)</f>
        <v>0.51120999999999994</v>
      </c>
    </row>
    <row r="25" spans="1:15" ht="15.75" customHeight="1" x14ac:dyDescent="0.25">
      <c r="B25" s="63" t="s">
        <v>208</v>
      </c>
      <c r="C25" s="93">
        <v>0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93">
        <v>0</v>
      </c>
      <c r="L25" s="92">
        <f>(1-food_insecure)*(0.21)*(1-school_attendance) + food_insecure*(0.3)*(1-school_attendance)</f>
        <v>0.15152347524890891</v>
      </c>
      <c r="M25" s="92">
        <f>(1-food_insecure)*(0.21)+food_insecure*(0.3)</f>
        <v>0.21908999999999998</v>
      </c>
      <c r="N25" s="92">
        <f>(1-food_insecure)*(0.21)+food_insecure*(0.3)</f>
        <v>0.21908999999999998</v>
      </c>
      <c r="O25" s="92">
        <f>(1-food_insecure)*(0.21)+food_insecure*(0.3)</f>
        <v>0.21908999999999998</v>
      </c>
    </row>
    <row r="26" spans="1:15" ht="15.75" customHeight="1" x14ac:dyDescent="0.25">
      <c r="B26" s="63" t="s">
        <v>189</v>
      </c>
      <c r="C26" s="93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93">
        <v>0</v>
      </c>
      <c r="L26" s="92">
        <f>(1-food_insecure)*(0.3)*(1-school_attendance)</f>
        <v>0.18652554326820364</v>
      </c>
      <c r="M26" s="92">
        <f>(1-food_insecure)*(0.3)</f>
        <v>0.2697</v>
      </c>
      <c r="N26" s="92">
        <f>(1-food_insecure)*(0.3)</f>
        <v>0.2697</v>
      </c>
      <c r="O26" s="92">
        <f>(1-food_insecure)*(0.3)</f>
        <v>0.2697</v>
      </c>
    </row>
    <row r="27" spans="1:15" ht="15.75" customHeight="1" x14ac:dyDescent="0.25">
      <c r="B27" s="63" t="s">
        <v>190</v>
      </c>
      <c r="C27" s="93">
        <v>0</v>
      </c>
      <c r="D27" s="93">
        <v>0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93">
        <v>0</v>
      </c>
      <c r="L27" s="92">
        <f>(1-food_insecure)*1*school_attendance + food_insecure*1*school_attendance</f>
        <v>0.30839620590210004</v>
      </c>
      <c r="M27" s="92">
        <v>0</v>
      </c>
      <c r="N27" s="92">
        <v>0</v>
      </c>
      <c r="O27" s="92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92">
        <v>0</v>
      </c>
      <c r="D29" s="92">
        <v>0</v>
      </c>
      <c r="E29" s="92">
        <f t="shared" ref="E29:O29" si="0">frac_maize</f>
        <v>0.99</v>
      </c>
      <c r="F29" s="92">
        <f t="shared" si="0"/>
        <v>0.99</v>
      </c>
      <c r="G29" s="92">
        <f t="shared" si="0"/>
        <v>0.99</v>
      </c>
      <c r="H29" s="92">
        <f t="shared" si="0"/>
        <v>0.99</v>
      </c>
      <c r="I29" s="92">
        <f t="shared" si="0"/>
        <v>0.99</v>
      </c>
      <c r="J29" s="92">
        <f t="shared" si="0"/>
        <v>0.99</v>
      </c>
      <c r="K29" s="92">
        <f t="shared" si="0"/>
        <v>0.99</v>
      </c>
      <c r="L29" s="92">
        <f t="shared" si="0"/>
        <v>0.99</v>
      </c>
      <c r="M29" s="92">
        <f t="shared" si="0"/>
        <v>0.99</v>
      </c>
      <c r="N29" s="92">
        <f t="shared" si="0"/>
        <v>0.99</v>
      </c>
      <c r="O29" s="92">
        <f t="shared" si="0"/>
        <v>0.99</v>
      </c>
    </row>
    <row r="30" spans="1:15" ht="15.75" customHeight="1" x14ac:dyDescent="0.25">
      <c r="B30" s="11" t="s">
        <v>64</v>
      </c>
      <c r="C30" s="92">
        <v>0</v>
      </c>
      <c r="D30" s="92">
        <v>0</v>
      </c>
      <c r="E30" s="92">
        <f t="shared" ref="E30:O30" si="1">frac_rice</f>
        <v>5.0000000000000001E-3</v>
      </c>
      <c r="F30" s="92">
        <f t="shared" si="1"/>
        <v>5.0000000000000001E-3</v>
      </c>
      <c r="G30" s="92">
        <f t="shared" si="1"/>
        <v>5.0000000000000001E-3</v>
      </c>
      <c r="H30" s="92">
        <f t="shared" si="1"/>
        <v>5.0000000000000001E-3</v>
      </c>
      <c r="I30" s="92">
        <f t="shared" si="1"/>
        <v>5.0000000000000001E-3</v>
      </c>
      <c r="J30" s="92">
        <f t="shared" si="1"/>
        <v>5.0000000000000001E-3</v>
      </c>
      <c r="K30" s="92">
        <f t="shared" si="1"/>
        <v>5.0000000000000001E-3</v>
      </c>
      <c r="L30" s="92">
        <f t="shared" si="1"/>
        <v>5.0000000000000001E-3</v>
      </c>
      <c r="M30" s="92">
        <f t="shared" si="1"/>
        <v>5.0000000000000001E-3</v>
      </c>
      <c r="N30" s="92">
        <f t="shared" si="1"/>
        <v>5.0000000000000001E-3</v>
      </c>
      <c r="O30" s="92">
        <f t="shared" si="1"/>
        <v>5.0000000000000001E-3</v>
      </c>
    </row>
    <row r="31" spans="1:15" ht="15.75" customHeight="1" x14ac:dyDescent="0.25">
      <c r="B31" s="11" t="s">
        <v>62</v>
      </c>
      <c r="C31" s="92">
        <v>0</v>
      </c>
      <c r="D31" s="92">
        <v>0</v>
      </c>
      <c r="E31" s="92">
        <f>frac_wheat</f>
        <v>5.0000000000000001E-3</v>
      </c>
      <c r="F31" s="92">
        <f t="shared" ref="F31:O31" si="2">frac_wheat</f>
        <v>5.0000000000000001E-3</v>
      </c>
      <c r="G31" s="92">
        <f t="shared" si="2"/>
        <v>5.0000000000000001E-3</v>
      </c>
      <c r="H31" s="92">
        <f t="shared" si="2"/>
        <v>5.0000000000000001E-3</v>
      </c>
      <c r="I31" s="92">
        <f t="shared" si="2"/>
        <v>5.0000000000000001E-3</v>
      </c>
      <c r="J31" s="92">
        <f t="shared" si="2"/>
        <v>5.0000000000000001E-3</v>
      </c>
      <c r="K31" s="92">
        <f t="shared" si="2"/>
        <v>5.0000000000000001E-3</v>
      </c>
      <c r="L31" s="92">
        <f t="shared" si="2"/>
        <v>5.0000000000000001E-3</v>
      </c>
      <c r="M31" s="92">
        <f t="shared" si="2"/>
        <v>5.0000000000000001E-3</v>
      </c>
      <c r="N31" s="92">
        <f t="shared" si="2"/>
        <v>5.0000000000000001E-3</v>
      </c>
      <c r="O31" s="92">
        <f t="shared" si="2"/>
        <v>5.0000000000000001E-3</v>
      </c>
    </row>
    <row r="32" spans="1:15" ht="15.75" customHeight="1" x14ac:dyDescent="0.25">
      <c r="B32" s="11" t="s">
        <v>47</v>
      </c>
      <c r="C32" s="92">
        <v>0</v>
      </c>
      <c r="D32" s="92">
        <v>0</v>
      </c>
      <c r="E32" s="92">
        <v>1</v>
      </c>
      <c r="F32" s="92">
        <v>1</v>
      </c>
      <c r="G32" s="92">
        <v>1</v>
      </c>
      <c r="H32" s="92">
        <v>1</v>
      </c>
      <c r="I32" s="92">
        <v>1</v>
      </c>
      <c r="J32" s="92">
        <v>1</v>
      </c>
      <c r="K32" s="92">
        <v>1</v>
      </c>
      <c r="L32" s="92">
        <v>1</v>
      </c>
      <c r="M32" s="92">
        <v>1</v>
      </c>
      <c r="N32" s="92">
        <v>1</v>
      </c>
      <c r="O32" s="92">
        <v>1</v>
      </c>
    </row>
    <row r="33" spans="1:15" ht="15.75" customHeight="1" x14ac:dyDescent="0.25">
      <c r="B33" s="11" t="s">
        <v>34</v>
      </c>
      <c r="C33" s="92">
        <f t="shared" ref="C33:O33" si="3">frac_malaria_risk</f>
        <v>0.1</v>
      </c>
      <c r="D33" s="92">
        <f t="shared" si="3"/>
        <v>0.1</v>
      </c>
      <c r="E33" s="92">
        <f t="shared" si="3"/>
        <v>0.1</v>
      </c>
      <c r="F33" s="92">
        <f t="shared" si="3"/>
        <v>0.1</v>
      </c>
      <c r="G33" s="92">
        <f t="shared" si="3"/>
        <v>0.1</v>
      </c>
      <c r="H33" s="92">
        <f t="shared" si="3"/>
        <v>0.1</v>
      </c>
      <c r="I33" s="92">
        <f t="shared" si="3"/>
        <v>0.1</v>
      </c>
      <c r="J33" s="92">
        <f t="shared" si="3"/>
        <v>0.1</v>
      </c>
      <c r="K33" s="92">
        <f t="shared" si="3"/>
        <v>0.1</v>
      </c>
      <c r="L33" s="92">
        <f t="shared" si="3"/>
        <v>0.1</v>
      </c>
      <c r="M33" s="92">
        <f t="shared" si="3"/>
        <v>0.1</v>
      </c>
      <c r="N33" s="92">
        <f t="shared" si="3"/>
        <v>0.1</v>
      </c>
      <c r="O33" s="92">
        <f t="shared" si="3"/>
        <v>0.1</v>
      </c>
    </row>
    <row r="34" spans="1:15" ht="15.75" customHeight="1" x14ac:dyDescent="0.25">
      <c r="B34" s="33" t="s">
        <v>83</v>
      </c>
      <c r="C34" s="92">
        <v>1</v>
      </c>
      <c r="D34" s="92">
        <v>1</v>
      </c>
      <c r="E34" s="92">
        <v>1</v>
      </c>
      <c r="F34" s="92">
        <v>1</v>
      </c>
      <c r="G34" s="92">
        <v>1</v>
      </c>
      <c r="H34" s="92">
        <v>1</v>
      </c>
      <c r="I34" s="92">
        <v>1</v>
      </c>
      <c r="J34" s="92">
        <v>1</v>
      </c>
      <c r="K34" s="92">
        <v>1</v>
      </c>
      <c r="L34" s="92">
        <v>1</v>
      </c>
      <c r="M34" s="92">
        <v>1</v>
      </c>
      <c r="N34" s="92">
        <v>1</v>
      </c>
      <c r="O34" s="92">
        <v>1</v>
      </c>
    </row>
    <row r="35" spans="1:15" ht="15.75" customHeight="1" x14ac:dyDescent="0.25">
      <c r="A35" s="5"/>
      <c r="B35" s="33" t="s">
        <v>82</v>
      </c>
      <c r="C35" s="92">
        <v>1</v>
      </c>
      <c r="D35" s="92">
        <v>1</v>
      </c>
      <c r="E35" s="92">
        <v>1</v>
      </c>
      <c r="F35" s="92">
        <v>1</v>
      </c>
      <c r="G35" s="92">
        <v>1</v>
      </c>
      <c r="H35" s="92">
        <v>1</v>
      </c>
      <c r="I35" s="92">
        <v>1</v>
      </c>
      <c r="J35" s="92">
        <v>1</v>
      </c>
      <c r="K35" s="92">
        <v>1</v>
      </c>
      <c r="L35" s="92">
        <v>1</v>
      </c>
      <c r="M35" s="92">
        <v>1</v>
      </c>
      <c r="N35" s="92">
        <v>1</v>
      </c>
      <c r="O35" s="92">
        <v>1</v>
      </c>
    </row>
    <row r="36" spans="1:15" s="5" customFormat="1" ht="15.75" customHeight="1" x14ac:dyDescent="0.25">
      <c r="B36" s="33" t="s">
        <v>81</v>
      </c>
      <c r="C36" s="92">
        <v>1</v>
      </c>
      <c r="D36" s="92">
        <v>1</v>
      </c>
      <c r="E36" s="92">
        <v>1</v>
      </c>
      <c r="F36" s="92">
        <v>1</v>
      </c>
      <c r="G36" s="92">
        <v>1</v>
      </c>
      <c r="H36" s="92">
        <v>1</v>
      </c>
      <c r="I36" s="92">
        <v>1</v>
      </c>
      <c r="J36" s="92">
        <v>1</v>
      </c>
      <c r="K36" s="92">
        <v>1</v>
      </c>
      <c r="L36" s="92">
        <v>1</v>
      </c>
      <c r="M36" s="92">
        <v>1</v>
      </c>
      <c r="N36" s="92">
        <v>1</v>
      </c>
      <c r="O36" s="92">
        <v>1</v>
      </c>
    </row>
    <row r="37" spans="1:15" s="5" customFormat="1" ht="15.75" customHeight="1" x14ac:dyDescent="0.25">
      <c r="B37" s="33" t="s">
        <v>79</v>
      </c>
      <c r="C37" s="92">
        <v>1</v>
      </c>
      <c r="D37" s="92">
        <v>1</v>
      </c>
      <c r="E37" s="92">
        <v>1</v>
      </c>
      <c r="F37" s="92">
        <v>1</v>
      </c>
      <c r="G37" s="92">
        <v>1</v>
      </c>
      <c r="H37" s="92">
        <v>1</v>
      </c>
      <c r="I37" s="92">
        <v>1</v>
      </c>
      <c r="J37" s="92">
        <v>1</v>
      </c>
      <c r="K37" s="92">
        <v>1</v>
      </c>
      <c r="L37" s="92">
        <v>1</v>
      </c>
      <c r="M37" s="92">
        <v>1</v>
      </c>
      <c r="N37" s="92">
        <v>1</v>
      </c>
      <c r="O37" s="92">
        <v>1</v>
      </c>
    </row>
    <row r="38" spans="1:15" s="5" customFormat="1" ht="15.75" customHeight="1" x14ac:dyDescent="0.25">
      <c r="B38" s="33" t="s">
        <v>80</v>
      </c>
      <c r="C38" s="92">
        <v>1</v>
      </c>
      <c r="D38" s="92">
        <v>1</v>
      </c>
      <c r="E38" s="92">
        <v>1</v>
      </c>
      <c r="F38" s="92">
        <v>1</v>
      </c>
      <c r="G38" s="92">
        <v>1</v>
      </c>
      <c r="H38" s="92">
        <v>1</v>
      </c>
      <c r="I38" s="92">
        <v>1</v>
      </c>
      <c r="J38" s="92">
        <v>1</v>
      </c>
      <c r="K38" s="92">
        <v>1</v>
      </c>
      <c r="L38" s="92">
        <v>1</v>
      </c>
      <c r="M38" s="92">
        <v>1</v>
      </c>
      <c r="N38" s="92">
        <v>1</v>
      </c>
      <c r="O38" s="92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target population</vt:lpstr>
      <vt:lpstr>Programs cost and coverage</vt:lpstr>
      <vt:lpstr>IYCF cost</vt:lpstr>
      <vt:lpstr>Program dependencies</vt:lpstr>
      <vt:lpstr>Reference programs</vt:lpstr>
      <vt:lpstr>Incidence of conditions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2020-03-24T06:50:39Z</dcterms:modified>
</cp:coreProperties>
</file>