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70C26E1-8394-48D0-8E96-9EFE747D759A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G32" i="2"/>
  <c r="H32" i="2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H13" i="2"/>
  <c r="I13" i="2" s="1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4" i="2"/>
  <c r="I22" i="2"/>
  <c r="I18" i="2"/>
  <c r="I32" i="2"/>
  <c r="I20" i="2"/>
  <c r="I16" i="2"/>
  <c r="I31" i="2"/>
  <c r="I27" i="2"/>
  <c r="I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8" i="51" l="1"/>
  <c r="C7" i="51"/>
  <c r="C6" i="51"/>
  <c r="I15" i="2"/>
  <c r="I12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47A19BEE-7FB8-4EE0-81F7-1796DC8CC7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E97AEAE-A354-43D8-9277-B893775D292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325B6FE-6F20-4FA1-BAD9-1481E36B5F7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DE3ED1AB-5ACC-444B-A40A-54632ADCADD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E65C80B0-E73A-4D60-9EEF-DAEEBB5253A3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3FC1C9E5-0B95-48C6-A30C-86BAE590B68C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648F4BA3-EFE8-4841-9739-C4A6BB33E96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7012A51-7841-4E11-896A-FA1D4B4BADC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B6F612CD-5C58-4D2E-AEA6-CD7448F18362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238A60E8-7398-4137-B904-06267571E4D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BE76F3DE-DC32-4277-ADC5-262D480ADD6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13AFB8D2-473C-443A-BD5C-FE3EDD41D8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4A96CDDD-48CF-49D1-94B1-9F73B9BE0CF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C78D96D-0351-42B3-AE49-D4A8CEC2D58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CF58E042-C7F3-4220-8D6F-F6DECEBC3B2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9367AD9-6590-40AE-B655-19A4F3C340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A5C262C-8455-48F9-8DD6-1004400247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58A2D14-606F-48C4-88B3-23617890AE8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A7071C5-A2D5-4BCE-BBF6-20FA1CF0889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2E1CFAC1-EA64-4347-9325-D8FFB055651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18F893DF-C354-4C2E-98CC-3E5D14EE659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E826AE3-587A-4FCC-87CE-1291AA937AB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020323F4-2F0A-4CCC-BF4F-17154BFAD1C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A1FE7910-090D-44A8-AD60-FC07E11D4BE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108043A3-BB5C-48CF-9C39-8EF8243E7776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147A89E9-B8CD-4865-BF91-C4850DB8B1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E47010ED-F43F-4CFB-BDA0-536E8799FEF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0EB41667-EE76-44E7-A00F-926ED52B08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604BEB67-EF21-45E0-A2C3-D8218A798E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55AEF638-0D81-47C6-BB42-B1082E0254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7B32A040-DB3F-4C2A-AF6A-B3B13380DD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B06A487C-86F6-4C9C-A4EE-DD8CCA5493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77D86F9B-5AC2-46A4-A58D-48090694DB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ACCD3D3F-28A4-4113-8A8E-A41BAC48366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7F8D6DEF-C385-4F05-AFEB-DA6E27D62C5C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967BEC7-072D-4E8F-B567-A176CAA1FE9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13F46720-976A-4717-84C6-93F1D420E8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CC43C32-641A-41A6-A314-14BEDF605FE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DEDA2097-1B6C-42E7-88F3-B27E19FAFC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8B89F8E5-4B12-4681-8F4C-81089FD909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A93D9C28-8220-4604-B287-2B9A8D1CC0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67D851E7-3999-4B34-A75A-FBF590E134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EE409FC-EF3D-4E52-8722-F610B8F25E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840F2D68-3BBE-4562-8443-7BB3EFDCA8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068E26AB-E924-48A9-891A-55289EC70F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CBF2EBA-6BB4-406B-B8E4-0D1758A3ED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C8A7C0D-BBB3-4365-9EB3-B989433AA7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B00DE285-8D54-4E52-8D78-DE98209B8CC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3259B99-0F70-4A8D-B784-7D95BA12CA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455D522B-82B7-438E-9E96-89A8A5C53A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C7F1426-4CA4-4542-8A66-9C397ED514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364F0D4-F54D-49D7-A754-EE68A509A4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087D8591-15E7-49E1-9323-CB68D752A3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17C26EB3-615D-41F9-8EE2-DB3C77CA6C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5214A9F3-2910-48C0-A260-16FA995D89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F95FFF75-4187-4776-BAA4-E9D291302C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847DD44-3A69-4078-9E5B-53932EE961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B85F019F-D58C-43B5-A811-E8B5F13994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3D7E1E90-6AFB-4358-A51B-D2C7B70DA6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E3F27739-09E1-46BD-B6BA-0F27AA9A2F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1089121B-997D-459B-9D42-21797B83FE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401C9D4-4F13-49DD-9B38-3957716000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5D2EB5B-1217-4A21-A820-D6927FAE9E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20B1D96-66ED-4464-82BD-CC203EEA21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AA5B3AB2-7CE4-40B4-A235-F3516468D4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CE279A55-7B56-474A-8684-2686FE9CB1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F69883D-1DA3-48B7-82E4-F83AA570E6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9C55AB77-2589-430E-821C-F447885DFD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620CB6EE-4B67-43DC-B7F7-EFE7856462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CF8DAC72-992C-4675-822A-96DAC6D18A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04D9A688-8FC9-4C45-AAD7-7E5D9A9B62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C2D19E08-5846-4EE8-80A3-41E411731C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9A737390-EC97-4546-BC46-63B00CBA59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CA8B2D4A-1397-49A5-818F-E7F5A73CCE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099521D7-C060-4523-A696-668BAA53B9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D72FE7FC-1C87-420B-8A39-720AAEF104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F954EC73-C79B-421D-A079-A21F8057B5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DACB781-3336-4440-9112-D6106CA58F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FE6668EB-5F90-4C10-9F82-5AF353D3F9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3D43C96-7318-4B00-871D-789E78848B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636BB585-3A9B-4A42-8AB1-130EF8157F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38599E66-D867-46B0-B34A-28B53B838E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A0F9044C-6CC6-4CE5-B195-81B4216325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BE9B45F9-D2DB-485F-A451-2FAA6F0321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2C827AC1-0D2C-4727-A391-C7816698F0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FFE6F95-EE5D-4CE0-B9C2-DB027235B3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D8156098-F6D3-42A6-A1B4-FD4497A5B3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B4C7E364-6B43-449B-AE43-2E2ECA4F3D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9060659-C0AF-47E5-9EA2-DF015AE03C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83565153-B655-43EB-A1F6-C379A593BA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11D7BE8-B320-4E87-9014-F215E7EF8C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F07F90BF-2E96-4164-8EB6-5804567CDE3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3AABF93-DDBA-4E37-A7F2-9C97111785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85D3F812-4550-41EC-8BF7-BEA84407B4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6F07DB80-CD8B-4B69-A01F-CB0B390AFD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E725198C-E1B9-417E-9145-B609C84771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358340AF-2AC6-4DEF-8502-E91C506C14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C0D3B2BA-2DDF-4F88-9819-AEEFFB4664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88E0A035-6565-4F05-ADDD-2582167621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8865E65-E859-4F37-833E-1DF6CF4495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BB3EEF5C-313F-43E0-B897-DAF1668441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3C82299-B06E-4904-9B96-5983D97C9D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77A4E2B3-44B8-4018-9F65-513044284A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CF1711EC-B38E-481D-AE26-CB765D3C30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469F7C6D-D465-4E39-93BE-087E5FA56E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2867EF64-D885-4854-BAA0-8183878910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61910509-124E-43D3-AC4A-52024E3757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B182ECD8-7D16-4C47-88D8-BEFE77862D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F74DACF-6964-4F1D-9EA8-EA7D02D35B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BD92C9EA-3755-4947-ACB2-B62BC8A552A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BA20791A-87B7-4A62-BB01-48F1C3A1B2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53C4CB1B-2372-4066-B9BE-22B491DF8F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E7A5D49A-3026-41BB-8150-EDE5827162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E85C622F-A8AC-4BC6-8EC8-6DA2EDA07D4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96B75AF9-789F-4742-BD1A-657734B106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B5AE006-3DA3-4E10-9736-DC29B70558A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739F2508-3A7E-4889-923D-516C3B60E5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CE51151B-28E8-483F-9EC7-2098EDEA59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139665AC-1B6C-4F71-8095-39CB9C23C19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4551EAE8-21F1-4061-848A-995FB6F923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54D93AA-6CA3-4C0B-9725-4B79A7F8CFD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AB81C0E8-5595-4EBC-881F-E2306C5EDE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67B392F2-A013-4FD6-8D87-40CD5AB435E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00B8006-BF34-45FA-8801-0E9846360B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494B058C-9781-408A-81CC-E32713887B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B1E4A503-3A16-4BA6-8A75-44EE5B546BE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B47A8543-75CC-4C7E-A93D-69381DC6785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52FBF6B3-7F1E-4053-8913-3937B8B6CD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9261B9D6-D4EE-4DA3-9756-2C04CFEB11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905B178-542B-4F83-A5B9-B642647A34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A3FEBBD7-2006-4B05-895B-23C279146AA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4848E687-67C7-4F69-85C7-34C7450031A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050A2752-2942-4A90-8EA8-9309801B94E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077030F7-7B27-48E3-B821-1DDACEAE19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AF380FD-5817-453B-9335-AE5864AE9B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310FCDA-1AE5-4FB7-8728-390958EDE1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4917C474-A416-4574-88D2-4BE9B04692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0A6A6B78-31EC-4581-B7C1-F375D87A742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AABEF94-476E-472C-B5CD-AB16B2F0004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CB933D29-63A8-4EF2-BD50-6AC43F8BDE4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381EFA0-199B-4BCB-A774-E085B06BDC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5C99C769-FB23-4849-BFEC-98E225DCF9F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F2C384D9-F5F9-4C61-BF2D-F29B7D8AC5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2B3525E-804C-45EA-856B-007AE61998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1CAA4AF9-8CF6-4BA6-AF04-0D41E56632A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C744C2F1-CB29-442C-843F-125DCB9E4ED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B927A500-FDBC-4A88-9DB6-35214D848E7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FEA1FB19-81D4-4D12-9DFE-530B8262DD4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1251E6C-CEB9-483E-9967-55AE6661AC0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C6FC2F43-E140-4744-A928-2FB135C3CEC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78001D0C-6835-4612-A315-1DDC062BE3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D132CDBE-53DC-4E40-8E26-BBC84196372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D1571C8-E666-470A-8468-FEFAA21216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E37A8C8-E831-4F96-BBD7-78A2E57E79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7E4A841-77E0-4519-929A-73086DA6282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5618B8E-2282-4145-9FCB-EB7AC9AEEDC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F845D20-5632-4665-8296-9909FFAF797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0D79865A-C91F-4895-A446-C9BA2E3FDE4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25F1C3B-1527-4900-98C3-B90ACA421D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E0AEBAAE-7C2A-482B-8914-67310DB473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72E7A09B-6E1A-48FF-B7AC-1263A54A84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EB836C41-6C67-4580-9395-B8A31B0973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C37CFF3-C24C-4B98-9F20-EEDDFB926CD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71A68B48-04C8-4AC3-96B8-2DC37F4F21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D034AD44-D31E-47F0-8A15-FA0FC6DC2FA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C5B38727-E012-4CF2-B04B-193A6D32CD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92FEC40C-6D42-439C-A3BE-96B37BACAD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F3DF8704-F6E4-4E85-B280-823A9F86F9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6ED4F82A-6627-4339-8F92-75E72EED0C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599FF4D5-A0E7-4672-B599-A56E35C776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C45940FB-7ABF-4D80-8A80-DE8BC58973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5ECBA8E-038C-49E5-A60F-473A2AF35E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F720E837-2338-46AC-9AB0-FD6D5FB31F9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2717FDBF-B463-4A41-9D9D-B376C7BBB0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ADA18DB2-C45B-4C75-A5C3-8F7833935E8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31406D5D-C132-4EC2-86ED-16D93927E7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0C380F66-2FB3-4D6A-B455-3A548EE57D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294543F1-B577-44F2-9040-A6627455F8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E6006FE6-CC9C-4D77-B56F-F07173B514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85A2E67F-3106-46B7-8031-AE325B9567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D62A1334-FB12-436B-9ABD-B78A3F26D42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5F362676-9865-415E-9F46-8545B8BEAAF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24822DBA-961D-49C5-89A7-6CEB667E99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4F40CE85-414B-44BF-A4C2-A01F47CDD0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34E7A2F4-3F3A-463C-83CA-2E674F9D21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7D6BEA49-CDC5-473C-BE6B-418A517690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F83BFAA0-4DE2-4B11-BD59-0D912F9D4A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AA9FB754-FF12-4CF2-803C-D0295747C8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10CE3A14-5F53-4CC2-A462-29BE2551BD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2B302708-0FA7-4A08-AF8D-ED8AA86BC2D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EA177312-DB94-47B2-8CF9-160AACCC1B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3BCC8F08-AC21-447A-AD8F-4181C985B2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B440757B-FE17-4BCF-B482-53945D4CA2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4338CA89-EA9F-44D1-B45A-AC61A45AC0A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E480B6F6-5028-4B43-865B-CF3D9714DF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9690B127-48BF-44E4-AB6C-A4A860B1A7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43F2C588-E8E9-4443-ABCC-C073278F9C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974F9641-47A7-4A09-A7C9-0113B8A903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8107AA31-0B33-4962-B3EB-65BEEF31E0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B5C351F6-6655-4952-A897-94D803D784B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E44D895-9D10-40A3-A6CB-675139604BC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814F33A6-8D8E-4FFB-A690-8212444166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58B25CA7-6167-4525-BC4D-E1DD79A172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93651923-44D7-42D3-AD35-D77F50DB1A0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1B490127-3756-445D-B02C-5D6C489BC13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7C538D4-7DAE-4AEE-92F0-E331E45F8F4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2434EDE0-5CBF-4103-B6A7-C3567009516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4C05EF14-643F-4DB8-A8B8-F198F53A1C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E3DFFA6C-063A-41FF-84DE-6D8CFBF08F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35E95C4-4D08-43DF-BE01-B473EAC46F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F47FD91B-DE85-4A94-B47E-64DC0250F9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4261FE9-54F1-44AA-B67A-8260D3B4246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50C27450-A00E-40E7-8AD7-15D6E8AB37A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D0BAF102-CF73-4D1F-83F2-6CB6AE4CE39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957B843-E58F-48CD-B3CD-E0DEBE37249B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0B1DD835-B9B2-414F-8D39-740FDC2BDC5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11BCC8BB-9409-4E74-A613-DD5D59CAAB9B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EBDEE85F-9D88-47F7-A83B-11A27F88F0D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03B339CF-A1D9-4FD7-9D4E-73F2CCD0A8F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0F5A615-3D95-4EB9-954B-1836EB9BFD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9C2A28E1-6C01-41C4-85A1-7160509722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74C181DA-7B2A-4886-AAE9-7AA27DD53B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A6F6FF4-D9A2-4F9B-89BF-6318230F88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23842A21-A8B4-4075-B5D4-F902CDE78E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ACC38D10-DB85-46F1-899C-6AB5A48045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8D3BD22B-B0A7-42CB-B6C5-520C94FC4F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C9750BCD-2450-42EC-B798-C3DD015C14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B65FAED7-CE21-4978-84EF-2CBF511D75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A0BCDFA0-DDC7-405C-BFFB-BD97F3F13B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3F2C264-C7DD-4680-9F56-6B10CF35F76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8ED407FB-6AC3-46A0-B1BC-005C6F454A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D845E0BD-D87D-4193-A54E-C02D8D7614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199C86F5-66A8-483A-AE45-D4747308BF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812B148-1F5A-43B4-98C0-957883D9F4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6650B8D-2451-48EA-9E7F-DB4571E712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1CA76CBD-806C-46DA-942C-64296F4DF5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46DE7055-B9C6-4950-B1AF-A831D30AEE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24F73710-21C3-40F6-B75D-46FB7637F3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7E11EE67-AE00-4E7A-ABEE-F9B402AD65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143499F-2220-4574-B621-4DE85A9B26F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D1E4F6BC-1E93-4216-9838-ED71EF0443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0EAC9088-73D8-4349-8550-5564951801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3877244-30A8-497F-A2B0-55EA25FC92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155C5BDB-99BD-449F-BFE6-089FB861AA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11F965C-420E-44A5-93B5-1988DF3BE3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2676FBD-9847-4E2F-8A6A-62C27A99D0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60AD84CB-AA74-4701-BC7C-7AD94B7C26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698374D0-7375-4874-BA1B-68DD9128E4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BFCA6F60-E899-4A32-824C-152D7A0119F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1677C257-39B0-4FBA-900B-4BE9809993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2569D56C-E1C2-4E4D-AA2D-78B7451CD5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14469919-9346-4F2C-B4EF-A48C6F04E3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9CF84345-FC0A-4646-8A74-7DE068656D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AEB75E17-8975-4CEE-893B-EBCB16CA31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A557D565-CA3B-4F79-A1D0-72949091F2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A89C431-63BB-40CE-BB22-EF6E7297BA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47DBD3C2-F4E3-4856-A38B-3B41BB7F00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84388504-4EA2-4CB5-BA4C-F822C8EC09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DB9EA702-CC2A-4E8E-98E2-F868D60C130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F0900942-92DA-41C4-B5A1-4D0B4A68A3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4C5CAFA9-0F00-4C21-93BD-5BA1888DE5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1C020CC-7A40-467F-A778-BF15E930A81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FCA017BF-010D-4CA2-9A67-98BC47B6F02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ADDBFA1D-2848-47B8-BE7E-09224BCA81B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3BF3AFA-BE9C-43BC-AAF4-02CFC4A9411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B427759B-8C1E-48B9-88CF-E874FAEA067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480CAD69-B8C0-43D7-96C2-4C65921D15C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C8E6C0D3-956A-4C82-9D06-90859181075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24F2675B-754A-49CA-B48F-1AFC141971D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791A8C67-74D3-4862-8F13-6E651BF49D0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89585507-58CA-4E1B-94E1-D6FF2217FB3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D8BC476-116B-455F-AB4E-1231B1B839F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BDBA45C4-B802-4160-A06A-480CD73210D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75524D5C-FFE5-4A94-86E2-22C25DE8506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D8F152A0-0467-4899-AFFC-ECF067EFCD5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7A646180-AB8A-4044-900F-3B3693BF28B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B0D6A5CA-D018-455F-A6C2-189D7AD9739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A5E3830F-A006-47E2-8938-F7B88CF3E52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59EE265-D970-4509-8B2D-C3A966C47C8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1D62FC0-3F6A-442F-8E42-6529D4B1D6F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8C866090-6756-4F69-832A-714CA7F535E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EFA3F500-4472-4516-B66A-2522322CDBC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90F4D959-A156-4861-AD80-08A0508D9FE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B760C00-B7C2-4D46-B7D7-1B950DBB396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04BB6599-9066-47C0-89D2-AD18A403C20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F404CC51-1004-41AF-9AA4-81DF7272179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D6656E7E-B07E-4876-90A9-6C58EE8D974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B5A0F191-31CD-41D3-A341-CA3CA1271DD1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3BCCF4F-6513-408A-92D3-AA3D07325188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702AE503-4ED5-4138-80E9-5E931980C8C5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49DC39F9-2298-43BB-BAB5-300C8C242DF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EB9D21D-A331-4C39-ADAA-410F5633537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1F1EF215-9D70-4D46-A1F1-83AA14A6C7C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CFC99A9A-42D6-4CB9-B0B1-191CFBE3E88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F705D9B8-4B70-4DC8-BB86-F6960BE2F4F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82A6BA1B-E488-42A9-8095-3844ED51411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004E9DF-207C-4F9B-8E38-8E226AB62BF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4B18167-42C8-4401-8652-0A6697F0D306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15F3FADF-66E3-4186-8C38-10F536B38783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9B76D3C6-8554-48E4-B5B6-8C500CC4DD8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DE3EDCA8-FE4C-4E75-A62E-6F284D44632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F1DF90ED-5793-47CA-B36F-2CC461DE794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45CDEE12-76CD-4364-B31B-12971FD6CC2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52AC9E98-C75C-4377-82B6-C92896CC16F9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8BFB6CAA-D565-4E23-A1E5-2AF840F0C2D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1C51A1CB-C4C1-435D-B224-F905A0E9DE0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D6F5BF04-ADAB-48E8-B8E8-C143E6ABE10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321BB5A6-7AD3-4CAB-B86C-53167E2CADF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322A9A7-CE73-45AA-A78D-FCB92F6749C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677764BA-7302-47B7-A023-F213B9566FD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7C8F69B9-8E7E-40C3-96EB-21AAE5BE595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2FE0347D-7AB4-432C-B9FB-66360E99135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75FDE39-A380-41E2-901F-7943B8402B7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7478443E-9964-4FB6-BDB2-70DC51C023A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C52EFFC-42F9-4E32-ADEF-80C2A8D91A8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2F349984-C8FC-44D1-8B35-E2797AA0D72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6E1EA0F0-12EC-4CF2-9679-29CA4FF6959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26F6C193-ABBA-42EB-9379-63DA2C6DB88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847B73D6-B9FA-4296-949A-587F97DC0C1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2ABF51E7-59D9-452C-8303-1B50520767B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DD8AC6A-CC16-49EB-8C94-F27ED12B424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5C3FF1CE-3D6D-4951-B12E-22D53DAE0F44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2F97271F-BB3E-4C92-B93F-D39C4CB5187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<sst xmlns="http://schemas.openxmlformats.org/spreadsheetml/2006/main" count="1102" uniqueCount="271">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</sst>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1194241</v>
      </c>
    </row>
    <row r="8" spans="1:3" ht="15" customHeight="1" x14ac:dyDescent="0.25">
      <c r="B8" s="7" t="s">
        <v>106</v>
      </c>
      <c r="C8" s="70">
        <v>0.29499999999999998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0.78182266235351605</v>
      </c>
    </row>
    <row r="11" spans="1:3" ht="15" customHeight="1" x14ac:dyDescent="0.25">
      <c r="B11" s="7" t="s">
        <v>108</v>
      </c>
      <c r="C11" s="70">
        <v>0.52500000000000002</v>
      </c>
    </row>
    <row r="12" spans="1:3" ht="15" customHeight="1" x14ac:dyDescent="0.25">
      <c r="B12" s="7" t="s">
        <v>109</v>
      </c>
      <c r="C12" s="70">
        <v>0.63</v>
      </c>
    </row>
    <row r="13" spans="1:3" ht="15" customHeight="1" x14ac:dyDescent="0.25">
      <c r="B13" s="7" t="s">
        <v>110</v>
      </c>
      <c r="C13" s="70">
        <v>0.49200000000000005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8.7300000000000003E-2</v>
      </c>
    </row>
    <row r="24" spans="1:3" ht="15" customHeight="1" x14ac:dyDescent="0.25">
      <c r="B24" s="20" t="s">
        <v>102</v>
      </c>
      <c r="C24" s="71">
        <v>0.59660000000000002</v>
      </c>
    </row>
    <row r="25" spans="1:3" ht="15" customHeight="1" x14ac:dyDescent="0.25">
      <c r="B25" s="20" t="s">
        <v>103</v>
      </c>
      <c r="C25" s="71">
        <v>0.28710000000000002</v>
      </c>
    </row>
    <row r="26" spans="1:3" ht="15" customHeight="1" x14ac:dyDescent="0.25">
      <c r="B26" s="20" t="s">
        <v>104</v>
      </c>
      <c r="C26" s="71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14.5</v>
      </c>
    </row>
    <row r="38" spans="1:5" ht="15" customHeight="1" x14ac:dyDescent="0.25">
      <c r="B38" s="16" t="s">
        <v>91</v>
      </c>
      <c r="C38" s="75">
        <v>29.4</v>
      </c>
      <c r="D38" s="17"/>
      <c r="E38" s="18"/>
    </row>
    <row r="39" spans="1:5" ht="15" customHeight="1" x14ac:dyDescent="0.25">
      <c r="B39" s="16" t="s">
        <v>90</v>
      </c>
      <c r="C39" s="75">
        <v>33.6</v>
      </c>
      <c r="D39" s="17"/>
      <c r="E39" s="17"/>
    </row>
    <row r="40" spans="1:5" ht="15" customHeight="1" x14ac:dyDescent="0.25">
      <c r="B40" s="16" t="s">
        <v>171</v>
      </c>
      <c r="C40" s="75">
        <v>3.98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2.3799999999999998E-2</v>
      </c>
      <c r="D45" s="17"/>
    </row>
    <row r="46" spans="1:5" ht="15.75" customHeight="1" x14ac:dyDescent="0.25">
      <c r="B46" s="16" t="s">
        <v>11</v>
      </c>
      <c r="C46" s="71">
        <v>8.3199999999999996E-2</v>
      </c>
      <c r="D46" s="17"/>
    </row>
    <row r="47" spans="1:5" ht="15.75" customHeight="1" x14ac:dyDescent="0.25">
      <c r="B47" s="16" t="s">
        <v>12</v>
      </c>
      <c r="C47" s="71">
        <v>0.14649999999999999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3.2560109909899997</v>
      </c>
      <c r="D51" s="17"/>
    </row>
    <row r="52" spans="1:4" ht="15" customHeight="1" x14ac:dyDescent="0.25">
      <c r="B52" s="16" t="s">
        <v>125</v>
      </c>
      <c r="C52" s="76">
        <v>2.56005527428999</v>
      </c>
    </row>
    <row r="53" spans="1:4" ht="15.75" customHeight="1" x14ac:dyDescent="0.25">
      <c r="B53" s="16" t="s">
        <v>126</v>
      </c>
      <c r="C53" s="76">
        <v>2.56005527428999</v>
      </c>
    </row>
    <row r="54" spans="1:4" ht="15.75" customHeight="1" x14ac:dyDescent="0.25">
      <c r="B54" s="16" t="s">
        <v>127</v>
      </c>
      <c r="C54" s="76">
        <v>1.33050655051</v>
      </c>
    </row>
    <row r="55" spans="1:4" ht="15.75" customHeight="1" x14ac:dyDescent="0.25">
      <c r="B55" s="16" t="s">
        <v>128</v>
      </c>
      <c r="C55" s="76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0.54368200655759469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36.673102552348467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44.676188346342542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79.584386436751942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2.2502589665866322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1.1200267724909865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1.1200267724909865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1.1200267724909865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1.1200267724909865</v>
      </c>
      <c r="E13" s="86" t="s">
        <v>202</v>
      </c>
    </row>
    <row r="14" spans="1:5" ht="15.75" customHeight="1" x14ac:dyDescent="0.25">
      <c r="A14" s="11" t="s">
        <v>187</v>
      </c>
      <c r="B14" s="85">
        <v>9.0000000000000011E-3</v>
      </c>
      <c r="C14" s="85">
        <v>0.95</v>
      </c>
      <c r="D14" s="86">
        <v>14.201250215462903</v>
      </c>
      <c r="E14" s="86" t="s">
        <v>202</v>
      </c>
    </row>
    <row r="15" spans="1:5" ht="15.75" customHeight="1" x14ac:dyDescent="0.25">
      <c r="A15" s="11" t="s">
        <v>209</v>
      </c>
      <c r="B15" s="85">
        <v>9.0000000000000011E-3</v>
      </c>
      <c r="C15" s="85">
        <v>0.95</v>
      </c>
      <c r="D15" s="86">
        <v>14.201250215462903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0.25753549775160944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</v>
      </c>
      <c r="C18" s="85">
        <v>0.95</v>
      </c>
      <c r="D18" s="87">
        <v>1.9354787912360976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1.9354787912360976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1.9354787912360976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21.219202862704286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24.214287028601188</v>
      </c>
      <c r="E22" s="86" t="s">
        <v>202</v>
      </c>
    </row>
    <row r="23" spans="1:5" ht="15.75" customHeight="1" x14ac:dyDescent="0.25">
      <c r="A23" s="52" t="s">
        <v>34</v>
      </c>
      <c r="B23" s="85">
        <v>0.02</v>
      </c>
      <c r="C23" s="85">
        <v>0.95</v>
      </c>
      <c r="D23" s="86">
        <v>4.6661477823845638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20.50942560811496</v>
      </c>
      <c r="E24" s="86" t="s">
        <v>202</v>
      </c>
    </row>
    <row r="25" spans="1:5" ht="15.75" customHeight="1" x14ac:dyDescent="0.25">
      <c r="A25" s="52" t="s">
        <v>87</v>
      </c>
      <c r="B25" s="85">
        <v>0.36</v>
      </c>
      <c r="C25" s="85">
        <v>0.95</v>
      </c>
      <c r="D25" s="86">
        <v>20.506898116657869</v>
      </c>
      <c r="E25" s="86" t="s">
        <v>202</v>
      </c>
    </row>
    <row r="26" spans="1:5" ht="15.75" customHeight="1" x14ac:dyDescent="0.25">
      <c r="A26" s="52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4.06234881970627</v>
      </c>
      <c r="E27" s="86" t="s">
        <v>202</v>
      </c>
    </row>
    <row r="28" spans="1:5" ht="15.75" customHeight="1" x14ac:dyDescent="0.25">
      <c r="A28" s="52" t="s">
        <v>84</v>
      </c>
      <c r="B28" s="85">
        <v>0.61699999999999999</v>
      </c>
      <c r="C28" s="85">
        <v>0.95</v>
      </c>
      <c r="D28" s="86">
        <v>1.0260337515538909</v>
      </c>
      <c r="E28" s="86" t="s">
        <v>202</v>
      </c>
    </row>
    <row r="29" spans="1:5" ht="15.75" customHeight="1" x14ac:dyDescent="0.25">
      <c r="A29" s="52" t="s">
        <v>58</v>
      </c>
      <c r="B29" s="85">
        <v>0.4</v>
      </c>
      <c r="C29" s="85">
        <v>0.95</v>
      </c>
      <c r="D29" s="86">
        <v>64.905462330614313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1.9667472266035493</v>
      </c>
      <c r="E30" s="86" t="s">
        <v>202</v>
      </c>
    </row>
    <row r="31" spans="1:5" ht="15.75" customHeight="1" x14ac:dyDescent="0.25">
      <c r="A31" s="52" t="s">
        <v>28</v>
      </c>
      <c r="B31" s="85">
        <v>0.53449999999999998</v>
      </c>
      <c r="C31" s="85">
        <v>0.95</v>
      </c>
      <c r="D31" s="86">
        <v>0.49558496612235631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0.89500000000000002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0.73799999999999999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0.44799999999999995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3.0501808176615341</v>
      </c>
      <c r="E37" s="86" t="s">
        <v>202</v>
      </c>
    </row>
    <row r="38" spans="1:6" ht="15.75" customHeight="1" x14ac:dyDescent="0.25">
      <c r="A38" s="52" t="s">
        <v>60</v>
      </c>
      <c r="B38" s="85">
        <v>0.19699999999999998</v>
      </c>
      <c r="C38" s="85">
        <v>0.95</v>
      </c>
      <c r="D38" s="86">
        <v>0.51954346614839164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0.20751263780000004</v>
      </c>
      <c r="C3" s="26">
        <f>frac_mam_1_5months * 2.6</f>
        <v>0.20751263780000004</v>
      </c>
      <c r="D3" s="26">
        <f>frac_mam_6_11months * 2.6</f>
        <v>0.17711993780000002</v>
      </c>
      <c r="E3" s="26">
        <f>frac_mam_12_23months * 2.6</f>
        <v>0.13184314520000001</v>
      </c>
      <c r="F3" s="26">
        <f>frac_mam_24_59months * 2.6</f>
        <v>5.4147287740000001E-2</v>
      </c>
    </row>
    <row r="4" spans="1:6" ht="15.75" customHeight="1" x14ac:dyDescent="0.25">
      <c r="A4" s="3" t="s">
        <v>66</v>
      </c>
      <c r="B4" s="26">
        <f>frac_sam_1month * 2.6</f>
        <v>0.14811468620000001</v>
      </c>
      <c r="C4" s="26">
        <f>frac_sam_1_5months * 2.6</f>
        <v>0.14811468620000001</v>
      </c>
      <c r="D4" s="26">
        <f>frac_sam_6_11months * 2.6</f>
        <v>8.5236416199999998E-2</v>
      </c>
      <c r="E4" s="26">
        <f>frac_sam_12_23months * 2.6</f>
        <v>5.5227429400000007E-2</v>
      </c>
      <c r="F4" s="26">
        <f>frac_sam_24_59months * 2.6</f>
        <v>2.2456168193333334E-2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252250.973325</v>
      </c>
      <c r="C2" s="78">
        <v>412486</v>
      </c>
      <c r="D2" s="78">
        <v>832555</v>
      </c>
      <c r="E2" s="78">
        <v>3406589</v>
      </c>
      <c r="F2" s="78">
        <v>2174712</v>
      </c>
      <c r="G2" s="22">
        <f t="shared" ref="G2:G40" si="0">C2+D2+E2+F2</f>
        <v>6826342</v>
      </c>
      <c r="H2" s="22">
        <f t="shared" ref="H2:H40" si="1">(B2 + stillbirth*B2/(1000-stillbirth))/(1-abortion)</f>
        <v>294060.49442190671</v>
      </c>
      <c r="I2" s="22">
        <f>G2-H2</f>
        <v>6532281.5055780932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251860.15633333332</v>
      </c>
      <c r="C3" s="78">
        <v>406000</v>
      </c>
      <c r="D3" s="78">
        <v>832000</v>
      </c>
      <c r="E3" s="78">
        <v>3520000</v>
      </c>
      <c r="F3" s="78">
        <v>2275000</v>
      </c>
      <c r="G3" s="22">
        <f t="shared" si="0"/>
        <v>7033000</v>
      </c>
      <c r="H3" s="22">
        <f t="shared" si="1"/>
        <v>293604.9011836205</v>
      </c>
      <c r="I3" s="22">
        <f t="shared" ref="I3:I15" si="3">G3-H3</f>
        <v>6739395.0988163799</v>
      </c>
    </row>
    <row r="4" spans="1:9" ht="15.75" customHeight="1" x14ac:dyDescent="0.25">
      <c r="A4" s="7">
        <f t="shared" si="2"/>
        <v>2019</v>
      </c>
      <c r="B4" s="77">
        <v>251221.60933333333</v>
      </c>
      <c r="C4" s="78">
        <v>403000</v>
      </c>
      <c r="D4" s="78">
        <v>828000</v>
      </c>
      <c r="E4" s="78">
        <v>3635000</v>
      </c>
      <c r="F4" s="78">
        <v>2379000</v>
      </c>
      <c r="G4" s="22">
        <f t="shared" si="0"/>
        <v>7245000</v>
      </c>
      <c r="H4" s="22">
        <f t="shared" si="1"/>
        <v>292860.51774653577</v>
      </c>
      <c r="I4" s="22">
        <f t="shared" si="3"/>
        <v>6952139.4822534639</v>
      </c>
    </row>
    <row r="5" spans="1:9" ht="15.75" customHeight="1" x14ac:dyDescent="0.25">
      <c r="A5" s="7">
        <f t="shared" si="2"/>
        <v>2020</v>
      </c>
      <c r="B5" s="77">
        <v>250301.07500000004</v>
      </c>
      <c r="C5" s="78">
        <v>405000</v>
      </c>
      <c r="D5" s="78">
        <v>824000</v>
      </c>
      <c r="E5" s="78">
        <v>3751000</v>
      </c>
      <c r="F5" s="78">
        <v>2484000</v>
      </c>
      <c r="G5" s="22">
        <f t="shared" si="0"/>
        <v>7464000</v>
      </c>
      <c r="H5" s="22">
        <f t="shared" si="1"/>
        <v>291787.40878039686</v>
      </c>
      <c r="I5" s="22">
        <f t="shared" si="3"/>
        <v>7172212.5912196031</v>
      </c>
    </row>
    <row r="6" spans="1:9" ht="15.75" customHeight="1" x14ac:dyDescent="0.25">
      <c r="A6" s="7">
        <f t="shared" si="2"/>
        <v>2021</v>
      </c>
      <c r="B6" s="77">
        <v>249480.86940000003</v>
      </c>
      <c r="C6" s="78">
        <v>412000</v>
      </c>
      <c r="D6" s="78">
        <v>819000</v>
      </c>
      <c r="E6" s="78">
        <v>3869000</v>
      </c>
      <c r="F6" s="78">
        <v>2592000</v>
      </c>
      <c r="G6" s="22">
        <f t="shared" si="0"/>
        <v>7692000</v>
      </c>
      <c r="H6" s="22">
        <f t="shared" si="1"/>
        <v>290831.25760649086</v>
      </c>
      <c r="I6" s="22">
        <f t="shared" si="3"/>
        <v>7401168.7423935095</v>
      </c>
    </row>
    <row r="7" spans="1:9" ht="15.75" customHeight="1" x14ac:dyDescent="0.25">
      <c r="A7" s="7">
        <f t="shared" si="2"/>
        <v>2022</v>
      </c>
      <c r="B7" s="77">
        <v>248372.77040000004</v>
      </c>
      <c r="C7" s="78">
        <v>425000</v>
      </c>
      <c r="D7" s="78">
        <v>813000</v>
      </c>
      <c r="E7" s="78">
        <v>3990000</v>
      </c>
      <c r="F7" s="78">
        <v>2701000</v>
      </c>
      <c r="G7" s="22">
        <f t="shared" si="0"/>
        <v>7929000</v>
      </c>
      <c r="H7" s="22">
        <f t="shared" si="1"/>
        <v>289539.49593154748</v>
      </c>
      <c r="I7" s="22">
        <f t="shared" si="3"/>
        <v>7639460.5040684529</v>
      </c>
    </row>
    <row r="8" spans="1:9" ht="15.75" customHeight="1" x14ac:dyDescent="0.25">
      <c r="A8" s="7">
        <f t="shared" si="2"/>
        <v>2023</v>
      </c>
      <c r="B8" s="77">
        <v>247006.69180000003</v>
      </c>
      <c r="C8" s="78">
        <v>441000</v>
      </c>
      <c r="D8" s="78">
        <v>807000</v>
      </c>
      <c r="E8" s="78">
        <v>4113000</v>
      </c>
      <c r="F8" s="78">
        <v>2812000</v>
      </c>
      <c r="G8" s="22">
        <f t="shared" si="0"/>
        <v>8173000</v>
      </c>
      <c r="H8" s="22">
        <f t="shared" si="1"/>
        <v>287946.99564011098</v>
      </c>
      <c r="I8" s="22">
        <f t="shared" si="3"/>
        <v>7885053.0043598888</v>
      </c>
    </row>
    <row r="9" spans="1:9" ht="15.75" customHeight="1" x14ac:dyDescent="0.25">
      <c r="A9" s="7">
        <f t="shared" si="2"/>
        <v>2024</v>
      </c>
      <c r="B9" s="77">
        <v>245386.13040000005</v>
      </c>
      <c r="C9" s="78">
        <v>459000</v>
      </c>
      <c r="D9" s="78">
        <v>803000</v>
      </c>
      <c r="E9" s="78">
        <v>4235000</v>
      </c>
      <c r="F9" s="78">
        <v>2923000</v>
      </c>
      <c r="G9" s="22">
        <f t="shared" si="0"/>
        <v>8420000</v>
      </c>
      <c r="H9" s="22">
        <f t="shared" si="1"/>
        <v>286057.8331118417</v>
      </c>
      <c r="I9" s="22">
        <f t="shared" si="3"/>
        <v>8133942.1668881588</v>
      </c>
    </row>
    <row r="10" spans="1:9" ht="15.75" customHeight="1" x14ac:dyDescent="0.25">
      <c r="A10" s="7">
        <f t="shared" si="2"/>
        <v>2025</v>
      </c>
      <c r="B10" s="77">
        <v>243491.08</v>
      </c>
      <c r="C10" s="78">
        <v>477000</v>
      </c>
      <c r="D10" s="78">
        <v>802000</v>
      </c>
      <c r="E10" s="78">
        <v>4357000</v>
      </c>
      <c r="F10" s="78">
        <v>3034000</v>
      </c>
      <c r="G10" s="22">
        <f t="shared" si="0"/>
        <v>8670000</v>
      </c>
      <c r="H10" s="22">
        <f t="shared" si="1"/>
        <v>283848.68620456505</v>
      </c>
      <c r="I10" s="22">
        <f t="shared" si="3"/>
        <v>8386151.3137954352</v>
      </c>
    </row>
    <row r="11" spans="1:9" ht="15.75" customHeight="1" x14ac:dyDescent="0.25">
      <c r="A11" s="7">
        <f t="shared" si="2"/>
        <v>2026</v>
      </c>
      <c r="B11" s="77">
        <v>243655.77600000001</v>
      </c>
      <c r="C11" s="78">
        <v>494000</v>
      </c>
      <c r="D11" s="78">
        <v>805000</v>
      </c>
      <c r="E11" s="78">
        <v>4477000</v>
      </c>
      <c r="F11" s="78">
        <v>3145000</v>
      </c>
      <c r="G11" s="22">
        <f t="shared" si="0"/>
        <v>8921000</v>
      </c>
      <c r="H11" s="22">
        <f t="shared" si="1"/>
        <v>284040.67986290832</v>
      </c>
      <c r="I11" s="22">
        <f t="shared" si="3"/>
        <v>8636959.320137091</v>
      </c>
    </row>
    <row r="12" spans="1:9" ht="15.75" customHeight="1" x14ac:dyDescent="0.25">
      <c r="A12" s="7">
        <f t="shared" si="2"/>
        <v>2027</v>
      </c>
      <c r="B12" s="77">
        <v>243651.2292</v>
      </c>
      <c r="C12" s="78">
        <v>512000</v>
      </c>
      <c r="D12" s="78">
        <v>811000</v>
      </c>
      <c r="E12" s="78">
        <v>4598000</v>
      </c>
      <c r="F12" s="78">
        <v>3255000</v>
      </c>
      <c r="G12" s="22">
        <f t="shared" si="0"/>
        <v>9176000</v>
      </c>
      <c r="H12" s="22">
        <f t="shared" si="1"/>
        <v>284035.37945023435</v>
      </c>
      <c r="I12" s="22">
        <f t="shared" si="3"/>
        <v>8891964.6205497663</v>
      </c>
    </row>
    <row r="13" spans="1:9" ht="15.75" customHeight="1" x14ac:dyDescent="0.25">
      <c r="A13" s="7">
        <f t="shared" si="2"/>
        <v>2028</v>
      </c>
      <c r="B13" s="77">
        <v>243479.62239999993</v>
      </c>
      <c r="C13" s="78">
        <v>529000</v>
      </c>
      <c r="D13" s="78">
        <v>820000</v>
      </c>
      <c r="E13" s="78">
        <v>4722000</v>
      </c>
      <c r="F13" s="78">
        <v>3367000</v>
      </c>
      <c r="G13" s="22">
        <f t="shared" si="0"/>
        <v>9438000</v>
      </c>
      <c r="H13" s="22">
        <f t="shared" si="1"/>
        <v>283835.32955631707</v>
      </c>
      <c r="I13" s="22">
        <f t="shared" si="3"/>
        <v>9154164.6704436839</v>
      </c>
    </row>
    <row r="14" spans="1:9" ht="15.75" customHeight="1" x14ac:dyDescent="0.25">
      <c r="A14" s="7">
        <f t="shared" si="2"/>
        <v>2029</v>
      </c>
      <c r="B14" s="77">
        <v>243165.18619999997</v>
      </c>
      <c r="C14" s="78">
        <v>544000</v>
      </c>
      <c r="D14" s="78">
        <v>835000</v>
      </c>
      <c r="E14" s="78">
        <v>4857000</v>
      </c>
      <c r="F14" s="78">
        <v>3480000</v>
      </c>
      <c r="G14" s="22">
        <f t="shared" si="0"/>
        <v>9716000</v>
      </c>
      <c r="H14" s="22">
        <f t="shared" si="1"/>
        <v>283468.77689958259</v>
      </c>
      <c r="I14" s="22">
        <f t="shared" si="3"/>
        <v>9432531.2231004182</v>
      </c>
    </row>
    <row r="15" spans="1:9" ht="15.75" customHeight="1" x14ac:dyDescent="0.25">
      <c r="A15" s="7">
        <f t="shared" si="2"/>
        <v>2030</v>
      </c>
      <c r="B15" s="77">
        <v>242730.696</v>
      </c>
      <c r="C15" s="78">
        <v>556000</v>
      </c>
      <c r="D15" s="78">
        <v>855000</v>
      </c>
      <c r="E15" s="78">
        <v>5006000</v>
      </c>
      <c r="F15" s="78">
        <v>3596000</v>
      </c>
      <c r="G15" s="22">
        <f t="shared" si="0"/>
        <v>10013000</v>
      </c>
      <c r="H15" s="22">
        <f t="shared" si="1"/>
        <v>282962.27180527383</v>
      </c>
      <c r="I15" s="22">
        <f t="shared" si="3"/>
        <v>9730037.7281947266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128.23203002960994</v>
      </c>
      <c r="I17" s="22">
        <f t="shared" si="4"/>
        <v>-128.23203002960994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8.6727736999999985E-2</v>
      </c>
    </row>
    <row r="4" spans="1:8" ht="15.75" customHeight="1" x14ac:dyDescent="0.25">
      <c r="B4" s="24" t="s">
        <v>7</v>
      </c>
      <c r="C4" s="79">
        <v>0.13710404794844763</v>
      </c>
    </row>
    <row r="5" spans="1:8" ht="15.75" customHeight="1" x14ac:dyDescent="0.25">
      <c r="B5" s="24" t="s">
        <v>8</v>
      </c>
      <c r="C5" s="79">
        <v>0.24572990931547925</v>
      </c>
    </row>
    <row r="6" spans="1:8" ht="15.75" customHeight="1" x14ac:dyDescent="0.25">
      <c r="B6" s="24" t="s">
        <v>10</v>
      </c>
      <c r="C6" s="79">
        <v>2.4394403056836579E-2</v>
      </c>
    </row>
    <row r="7" spans="1:8" ht="15.75" customHeight="1" x14ac:dyDescent="0.25">
      <c r="B7" s="24" t="s">
        <v>13</v>
      </c>
      <c r="C7" s="79">
        <v>0.3078116295071105</v>
      </c>
    </row>
    <row r="8" spans="1:8" ht="15.75" customHeight="1" x14ac:dyDescent="0.25">
      <c r="B8" s="24" t="s">
        <v>14</v>
      </c>
      <c r="C8" s="79">
        <v>2.4217583647519781E-6</v>
      </c>
    </row>
    <row r="9" spans="1:8" ht="15.75" customHeight="1" x14ac:dyDescent="0.25">
      <c r="B9" s="24" t="s">
        <v>27</v>
      </c>
      <c r="C9" s="79">
        <v>0.12938165125366424</v>
      </c>
    </row>
    <row r="10" spans="1:8" ht="15.75" customHeight="1" x14ac:dyDescent="0.25">
      <c r="B10" s="24" t="s">
        <v>15</v>
      </c>
      <c r="C10" s="79">
        <v>6.8848200160096962E-2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0.24648741681356301</v>
      </c>
      <c r="D14" s="79">
        <v>0.24648741681356301</v>
      </c>
      <c r="E14" s="79">
        <v>0.19478948370593799</v>
      </c>
      <c r="F14" s="79">
        <v>0.19478948370593799</v>
      </c>
    </row>
    <row r="15" spans="1:8" ht="15.75" customHeight="1" x14ac:dyDescent="0.25">
      <c r="B15" s="24" t="s">
        <v>16</v>
      </c>
      <c r="C15" s="79">
        <v>0.47868656951795896</v>
      </c>
      <c r="D15" s="79">
        <v>0.47868656951795896</v>
      </c>
      <c r="E15" s="79">
        <v>0.39625292019943797</v>
      </c>
      <c r="F15" s="79">
        <v>0.39625292019943797</v>
      </c>
    </row>
    <row r="16" spans="1:8" ht="15.75" customHeight="1" x14ac:dyDescent="0.25">
      <c r="B16" s="24" t="s">
        <v>17</v>
      </c>
      <c r="C16" s="79">
        <v>2.0455987312717201E-2</v>
      </c>
      <c r="D16" s="79">
        <v>2.0455987312717201E-2</v>
      </c>
      <c r="E16" s="79">
        <v>1.8654159214777401E-2</v>
      </c>
      <c r="F16" s="79">
        <v>1.8654159214777401E-2</v>
      </c>
    </row>
    <row r="17" spans="1:8" ht="15.75" customHeight="1" x14ac:dyDescent="0.25">
      <c r="B17" s="24" t="s">
        <v>18</v>
      </c>
      <c r="C17" s="79">
        <v>1.65260519749094E-4</v>
      </c>
      <c r="D17" s="79">
        <v>1.65260519749094E-4</v>
      </c>
      <c r="E17" s="79">
        <v>8.7790170303173401E-4</v>
      </c>
      <c r="F17" s="79">
        <v>8.7790170303173401E-4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1.4815706107771699E-2</v>
      </c>
      <c r="D19" s="79">
        <v>1.4815706107771699E-2</v>
      </c>
      <c r="E19" s="79">
        <v>3.2641165797763799E-2</v>
      </c>
      <c r="F19" s="79">
        <v>3.2641165797763799E-2</v>
      </c>
    </row>
    <row r="20" spans="1:8" ht="15.75" customHeight="1" x14ac:dyDescent="0.25">
      <c r="B20" s="24" t="s">
        <v>21</v>
      </c>
      <c r="C20" s="79">
        <v>8.4232242517622997E-5</v>
      </c>
      <c r="D20" s="79">
        <v>8.4232242517622997E-5</v>
      </c>
      <c r="E20" s="79">
        <v>6.6100749749965705E-4</v>
      </c>
      <c r="F20" s="79">
        <v>6.6100749749965705E-4</v>
      </c>
    </row>
    <row r="21" spans="1:8" ht="15.75" customHeight="1" x14ac:dyDescent="0.25">
      <c r="B21" s="24" t="s">
        <v>22</v>
      </c>
      <c r="C21" s="79">
        <v>2.7731887289868199E-2</v>
      </c>
      <c r="D21" s="79">
        <v>2.7731887289868199E-2</v>
      </c>
      <c r="E21" s="79">
        <v>0.14450939518256201</v>
      </c>
      <c r="F21" s="79">
        <v>0.14450939518256201</v>
      </c>
    </row>
    <row r="22" spans="1:8" ht="15.75" customHeight="1" x14ac:dyDescent="0.25">
      <c r="B22" s="24" t="s">
        <v>23</v>
      </c>
      <c r="C22" s="79">
        <v>0.21157294019585415</v>
      </c>
      <c r="D22" s="79">
        <v>0.21157294019585415</v>
      </c>
      <c r="E22" s="79">
        <v>0.21161396669898946</v>
      </c>
      <c r="F22" s="79">
        <v>0.21161396669898946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5.4600000000000003E-2</v>
      </c>
    </row>
    <row r="27" spans="1:8" ht="15.75" customHeight="1" x14ac:dyDescent="0.25">
      <c r="B27" s="24" t="s">
        <v>39</v>
      </c>
      <c r="C27" s="79">
        <v>5.9400000000000001E-2</v>
      </c>
    </row>
    <row r="28" spans="1:8" ht="15.75" customHeight="1" x14ac:dyDescent="0.25">
      <c r="B28" s="24" t="s">
        <v>40</v>
      </c>
      <c r="C28" s="79">
        <v>0.121</v>
      </c>
    </row>
    <row r="29" spans="1:8" ht="15.75" customHeight="1" x14ac:dyDescent="0.25">
      <c r="B29" s="24" t="s">
        <v>41</v>
      </c>
      <c r="C29" s="79">
        <v>0.13500000000000001</v>
      </c>
    </row>
    <row r="30" spans="1:8" ht="15.75" customHeight="1" x14ac:dyDescent="0.25">
      <c r="B30" s="24" t="s">
        <v>42</v>
      </c>
      <c r="C30" s="79">
        <v>8.14E-2</v>
      </c>
    </row>
    <row r="31" spans="1:8" ht="15.75" customHeight="1" x14ac:dyDescent="0.25">
      <c r="B31" s="24" t="s">
        <v>43</v>
      </c>
      <c r="C31" s="79">
        <v>6.59E-2</v>
      </c>
    </row>
    <row r="32" spans="1:8" ht="15.75" customHeight="1" x14ac:dyDescent="0.25">
      <c r="B32" s="24" t="s">
        <v>44</v>
      </c>
      <c r="C32" s="79">
        <v>0.13220000000000001</v>
      </c>
    </row>
    <row r="33" spans="2:3" ht="15.75" customHeight="1" x14ac:dyDescent="0.25">
      <c r="B33" s="24" t="s">
        <v>45</v>
      </c>
      <c r="C33" s="79">
        <v>0.12740000000000001</v>
      </c>
    </row>
    <row r="34" spans="2:3" ht="15.75" customHeight="1" x14ac:dyDescent="0.25">
      <c r="B34" s="24" t="s">
        <v>46</v>
      </c>
      <c r="C34" s="79">
        <v>0.22309999999999999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0.81109602069927933</v>
      </c>
      <c r="D2" s="80">
        <v>0.81109602069927933</v>
      </c>
      <c r="E2" s="80">
        <v>0.7021339577429726</v>
      </c>
      <c r="F2" s="80">
        <v>0.49009030846415885</v>
      </c>
      <c r="G2" s="80">
        <v>0.42010443919605878</v>
      </c>
    </row>
    <row r="3" spans="1:15" ht="15.75" customHeight="1" x14ac:dyDescent="0.25">
      <c r="A3" s="5"/>
      <c r="B3" s="11" t="s">
        <v>118</v>
      </c>
      <c r="C3" s="80">
        <v>0.12215964490857531</v>
      </c>
      <c r="D3" s="80">
        <v>0.12215964490857531</v>
      </c>
      <c r="E3" s="80">
        <v>0.22657095779269032</v>
      </c>
      <c r="F3" s="80">
        <v>0.33192479982345302</v>
      </c>
      <c r="G3" s="80">
        <v>0.370223964885181</v>
      </c>
    </row>
    <row r="4" spans="1:15" ht="15.75" customHeight="1" x14ac:dyDescent="0.25">
      <c r="A4" s="5"/>
      <c r="B4" s="11" t="s">
        <v>116</v>
      </c>
      <c r="C4" s="81">
        <v>5.3597723072480501E-2</v>
      </c>
      <c r="D4" s="81">
        <v>5.3597723072480501E-2</v>
      </c>
      <c r="E4" s="81">
        <v>5.3597723072480501E-2</v>
      </c>
      <c r="F4" s="81">
        <v>0.12742100202136875</v>
      </c>
      <c r="G4" s="81">
        <v>0.15742224323804022</v>
      </c>
    </row>
    <row r="5" spans="1:15" ht="15.75" customHeight="1" x14ac:dyDescent="0.25">
      <c r="A5" s="5"/>
      <c r="B5" s="11" t="s">
        <v>119</v>
      </c>
      <c r="C5" s="81">
        <v>1.3146611319665028E-2</v>
      </c>
      <c r="D5" s="81">
        <v>1.3146611319665028E-2</v>
      </c>
      <c r="E5" s="81">
        <v>1.7697361391856771E-2</v>
      </c>
      <c r="F5" s="81">
        <v>5.0563889691019347E-2</v>
      </c>
      <c r="G5" s="81">
        <v>5.2249352680719986E-2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0.61402013292587776</v>
      </c>
      <c r="D8" s="80">
        <v>0.61402013292587776</v>
      </c>
      <c r="E8" s="80">
        <v>0.67753133146428579</v>
      </c>
      <c r="F8" s="80">
        <v>0.74620218716891884</v>
      </c>
      <c r="G8" s="80">
        <v>0.84417050464425469</v>
      </c>
    </row>
    <row r="9" spans="1:15" ht="15.75" customHeight="1" x14ac:dyDescent="0.25">
      <c r="B9" s="7" t="s">
        <v>121</v>
      </c>
      <c r="C9" s="80">
        <v>0.24920012707412223</v>
      </c>
      <c r="D9" s="80">
        <v>0.24920012707412223</v>
      </c>
      <c r="E9" s="80">
        <v>0.22156237853571431</v>
      </c>
      <c r="F9" s="80">
        <v>0.18184759183108104</v>
      </c>
      <c r="G9" s="80">
        <v>0.12636662768907864</v>
      </c>
    </row>
    <row r="10" spans="1:15" ht="15.75" customHeight="1" x14ac:dyDescent="0.25">
      <c r="B10" s="7" t="s">
        <v>122</v>
      </c>
      <c r="C10" s="81">
        <v>7.9812553000000008E-2</v>
      </c>
      <c r="D10" s="81">
        <v>7.9812553000000008E-2</v>
      </c>
      <c r="E10" s="81">
        <v>6.8123053000000003E-2</v>
      </c>
      <c r="F10" s="81">
        <v>5.0708902E-2</v>
      </c>
      <c r="G10" s="81">
        <v>2.08258799E-2</v>
      </c>
    </row>
    <row r="11" spans="1:15" ht="15.75" customHeight="1" x14ac:dyDescent="0.25">
      <c r="B11" s="7" t="s">
        <v>123</v>
      </c>
      <c r="C11" s="81">
        <v>5.6967187000000002E-2</v>
      </c>
      <c r="D11" s="81">
        <v>5.6967187000000002E-2</v>
      </c>
      <c r="E11" s="81">
        <v>3.2783237E-2</v>
      </c>
      <c r="F11" s="81">
        <v>2.1241319000000002E-2</v>
      </c>
      <c r="G11" s="81">
        <v>8.6369877666666664E-3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0.50674149000000002</v>
      </c>
      <c r="D14" s="82">
        <v>0.482549529468</v>
      </c>
      <c r="E14" s="82">
        <v>0.482549529468</v>
      </c>
      <c r="F14" s="82">
        <v>0.36602033348399998</v>
      </c>
      <c r="G14" s="82">
        <v>0.36602033348399998</v>
      </c>
      <c r="H14" s="83">
        <v>0.755</v>
      </c>
      <c r="I14" s="83">
        <v>0.34110218978102191</v>
      </c>
      <c r="J14" s="83">
        <v>0.44353527980535273</v>
      </c>
      <c r="K14" s="83">
        <v>0.44558394160583936</v>
      </c>
      <c r="L14" s="83">
        <v>0.32823115156299998</v>
      </c>
      <c r="M14" s="83">
        <v>0.24611319682300001</v>
      </c>
      <c r="N14" s="83">
        <v>0.24744971867900001</v>
      </c>
      <c r="O14" s="83">
        <v>0.29423493094399999</v>
      </c>
    </row>
    <row r="15" spans="1:15" ht="15.75" customHeight="1" x14ac:dyDescent="0.25">
      <c r="B15" s="16" t="s">
        <v>68</v>
      </c>
      <c r="C15" s="80">
        <f>iron_deficiency_anaemia*C14</f>
        <v>0.27550623008918529</v>
      </c>
      <c r="D15" s="80">
        <f t="shared" ref="D15:O15" si="0">iron_deficiency_anaemia*D14</f>
        <v>0.26235349644458539</v>
      </c>
      <c r="E15" s="80">
        <f t="shared" si="0"/>
        <v>0.26235349644458539</v>
      </c>
      <c r="F15" s="80">
        <f t="shared" si="0"/>
        <v>0.19899866934946106</v>
      </c>
      <c r="G15" s="80">
        <f t="shared" si="0"/>
        <v>0.19899866934946106</v>
      </c>
      <c r="H15" s="80">
        <f t="shared" si="0"/>
        <v>0.41047991495098402</v>
      </c>
      <c r="I15" s="80">
        <f t="shared" si="0"/>
        <v>0.18545112298133545</v>
      </c>
      <c r="J15" s="80">
        <f t="shared" si="0"/>
        <v>0.24114215090365837</v>
      </c>
      <c r="K15" s="80">
        <f t="shared" si="0"/>
        <v>0.24225597146210484</v>
      </c>
      <c r="L15" s="80">
        <f t="shared" si="0"/>
        <v>0.17845337109648182</v>
      </c>
      <c r="M15" s="80">
        <f t="shared" si="0"/>
        <v>0.1338073166890329</v>
      </c>
      <c r="N15" s="80">
        <f t="shared" si="0"/>
        <v>0.13453395957351105</v>
      </c>
      <c r="O15" s="80">
        <f t="shared" si="0"/>
        <v>0.15997023765496923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0.35799999999999998</v>
      </c>
      <c r="D2" s="81">
        <v>0.35799999999999998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0.217</v>
      </c>
      <c r="D3" s="81">
        <v>0.43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0.12300000000000001</v>
      </c>
      <c r="D4" s="81">
        <v>0.12300000000000001</v>
      </c>
      <c r="E4" s="81">
        <v>0.48099999999999993</v>
      </c>
      <c r="F4" s="81">
        <v>0.69550000000000001</v>
      </c>
      <c r="G4" s="81">
        <v>0</v>
      </c>
    </row>
    <row r="5" spans="1:7" x14ac:dyDescent="0.25">
      <c r="B5" s="43" t="s">
        <v>169</v>
      </c>
      <c r="C5" s="80">
        <f>1-SUM(C2:C4)</f>
        <v>0.30200000000000005</v>
      </c>
      <c r="D5" s="80">
        <f>1-SUM(D2:D4)</f>
        <v>8.8999999999999968E-2</v>
      </c>
      <c r="E5" s="80">
        <f>1-SUM(E2:E4)</f>
        <v>0.51900000000000013</v>
      </c>
      <c r="F5" s="80">
        <f>1-SUM(F2:F4)</f>
        <v>0.30449999999999999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0.30467</v>
      </c>
      <c r="D2" s="144">
        <v>0.29955999999999999</v>
      </c>
      <c r="E2" s="144">
        <v>0.29449999999999998</v>
      </c>
      <c r="F2" s="144">
        <v>0.28952</v>
      </c>
      <c r="G2" s="144">
        <v>0.28466999999999998</v>
      </c>
      <c r="H2" s="144">
        <v>0.28000000000000003</v>
      </c>
      <c r="I2" s="144">
        <v>0.27542</v>
      </c>
      <c r="J2" s="144">
        <v>0.27093</v>
      </c>
      <c r="K2" s="144">
        <v>0.26652999999999999</v>
      </c>
      <c r="L2" s="144">
        <v>0.26224000000000003</v>
      </c>
      <c r="M2" s="144">
        <v>0.25806000000000001</v>
      </c>
      <c r="N2" s="144">
        <v>0.25396999999999997</v>
      </c>
      <c r="O2" s="144">
        <v>0.24995999999999999</v>
      </c>
      <c r="P2" s="144">
        <v>0.24602000000000002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0.10372999999999999</v>
      </c>
      <c r="D4" s="144">
        <v>0.10275000000000001</v>
      </c>
      <c r="E4" s="144">
        <v>0.10177</v>
      </c>
      <c r="F4" s="144">
        <v>0.10091</v>
      </c>
      <c r="G4" s="144">
        <v>0.10031000000000001</v>
      </c>
      <c r="H4" s="144">
        <v>0.10027</v>
      </c>
      <c r="I4" s="144">
        <v>0.10027</v>
      </c>
      <c r="J4" s="144">
        <v>0.10034000000000001</v>
      </c>
      <c r="K4" s="144">
        <v>0.10045999999999999</v>
      </c>
      <c r="L4" s="144">
        <v>0.10071999999999999</v>
      </c>
      <c r="M4" s="144">
        <v>0.10116</v>
      </c>
      <c r="N4" s="144">
        <v>0.10163</v>
      </c>
      <c r="O4" s="144">
        <v>0.10210000000000001</v>
      </c>
      <c r="P4" s="144">
        <v>0.10255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0.21188884699589591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0.24973977223502589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0.14786805699021546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0.35800000000000004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0.624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46.918999999999997</v>
      </c>
      <c r="D13" s="143">
        <v>45.326000000000001</v>
      </c>
      <c r="E13" s="143">
        <v>43.756999999999998</v>
      </c>
      <c r="F13" s="143">
        <v>42.468000000000004</v>
      </c>
      <c r="G13" s="143">
        <v>41.097999999999999</v>
      </c>
      <c r="H13" s="143">
        <v>39.868000000000002</v>
      </c>
      <c r="I13" s="143">
        <v>38.658999999999999</v>
      </c>
      <c r="J13" s="143">
        <v>37.603999999999999</v>
      </c>
      <c r="K13" s="143">
        <v>36.603000000000002</v>
      </c>
      <c r="L13" s="143">
        <v>32.637999999999998</v>
      </c>
      <c r="M13" s="143">
        <v>31.785</v>
      </c>
      <c r="N13" s="143">
        <v>30.556000000000001</v>
      </c>
      <c r="O13" s="143">
        <v>29.824999999999999</v>
      </c>
      <c r="P13" s="143">
        <v>28.959</v>
      </c>
    </row>
    <row r="14" spans="1:16" x14ac:dyDescent="0.25">
      <c r="B14" s="16" t="s">
        <v>170</v>
      </c>
      <c r="C14" s="143">
        <f>maternal_mortality</f>
        <v>3.98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0.29499999999999998</v>
      </c>
      <c r="E2" s="92">
        <f>food_insecure</f>
        <v>0.29499999999999998</v>
      </c>
      <c r="F2" s="92">
        <f>food_insecure</f>
        <v>0.29499999999999998</v>
      </c>
      <c r="G2" s="92">
        <f>food_insecure</f>
        <v>0.29499999999999998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0.29499999999999998</v>
      </c>
      <c r="F5" s="92">
        <f>food_insecure</f>
        <v>0.29499999999999998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0.12523119196115384</v>
      </c>
      <c r="D7" s="92">
        <f>diarrhoea_1_5mo/26</f>
        <v>9.8463664395768841E-2</v>
      </c>
      <c r="E7" s="92">
        <f>diarrhoea_6_11mo/26</f>
        <v>9.8463664395768841E-2</v>
      </c>
      <c r="F7" s="92">
        <f>diarrhoea_12_23mo/26</f>
        <v>5.1173328865769231E-2</v>
      </c>
      <c r="G7" s="92">
        <f>diarrhoea_24_59mo/26</f>
        <v>5.1173328865769231E-2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0.29499999999999998</v>
      </c>
      <c r="F8" s="92">
        <f>food_insecure</f>
        <v>0.29499999999999998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0.63</v>
      </c>
      <c r="E9" s="92">
        <f>IF(ISBLANK(comm_deliv), frac_children_health_facility,1)</f>
        <v>0.63</v>
      </c>
      <c r="F9" s="92">
        <f>IF(ISBLANK(comm_deliv), frac_children_health_facility,1)</f>
        <v>0.63</v>
      </c>
      <c r="G9" s="92">
        <f>IF(ISBLANK(comm_deliv), frac_children_health_facility,1)</f>
        <v>0.63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0.12523119196115384</v>
      </c>
      <c r="D11" s="92">
        <f>diarrhoea_1_5mo/26</f>
        <v>9.8463664395768841E-2</v>
      </c>
      <c r="E11" s="92">
        <f>diarrhoea_6_11mo/26</f>
        <v>9.8463664395768841E-2</v>
      </c>
      <c r="F11" s="92">
        <f>diarrhoea_12_23mo/26</f>
        <v>5.1173328865769231E-2</v>
      </c>
      <c r="G11" s="92">
        <f>diarrhoea_24_59mo/26</f>
        <v>5.1173328865769231E-2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0.29499999999999998</v>
      </c>
      <c r="I14" s="92">
        <f>food_insecure</f>
        <v>0.29499999999999998</v>
      </c>
      <c r="J14" s="92">
        <f>food_insecure</f>
        <v>0.29499999999999998</v>
      </c>
      <c r="K14" s="92">
        <f>food_insecure</f>
        <v>0.29499999999999998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0.52500000000000002</v>
      </c>
      <c r="I17" s="92">
        <f>frac_PW_health_facility</f>
        <v>0.52500000000000002</v>
      </c>
      <c r="J17" s="92">
        <f>frac_PW_health_facility</f>
        <v>0.52500000000000002</v>
      </c>
      <c r="K17" s="92">
        <f>frac_PW_health_facility</f>
        <v>0.52500000000000002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0.49200000000000005</v>
      </c>
      <c r="M23" s="92">
        <f>famplan_unmet_need</f>
        <v>0.49200000000000005</v>
      </c>
      <c r="N23" s="92">
        <f>famplan_unmet_need</f>
        <v>0.49200000000000005</v>
      </c>
      <c r="O23" s="92">
        <f>famplan_unmet_need</f>
        <v>0.49200000000000005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0.12042298151397682</v>
      </c>
      <c r="M24" s="92">
        <f>(1-food_insecure)*(0.49)+food_insecure*(0.7)</f>
        <v>0.55195000000000005</v>
      </c>
      <c r="N24" s="92">
        <f>(1-food_insecure)*(0.49)+food_insecure*(0.7)</f>
        <v>0.55195000000000005</v>
      </c>
      <c r="O24" s="92">
        <f>(1-food_insecure)*(0.49)+food_insecure*(0.7)</f>
        <v>0.55195000000000005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5.1609849220275783E-2</v>
      </c>
      <c r="M25" s="92">
        <f>(1-food_insecure)*(0.21)+food_insecure*(0.3)</f>
        <v>0.23655000000000001</v>
      </c>
      <c r="N25" s="92">
        <f>(1-food_insecure)*(0.21)+food_insecure*(0.3)</f>
        <v>0.23655000000000001</v>
      </c>
      <c r="O25" s="92">
        <f>(1-food_insecure)*(0.21)+food_insecure*(0.3)</f>
        <v>0.23655000000000001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4.6144506912231362E-2</v>
      </c>
      <c r="M26" s="92">
        <f>(1-food_insecure)*(0.3)</f>
        <v>0.21150000000000002</v>
      </c>
      <c r="N26" s="92">
        <f>(1-food_insecure)*(0.3)</f>
        <v>0.21150000000000002</v>
      </c>
      <c r="O26" s="92">
        <f>(1-food_insecure)*(0.3)</f>
        <v>0.21150000000000002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0.78182266235351605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2020-03-24T06:50:43Z</dcterms:modified>
</cp:coreProperties>
</file>