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50C2CFF-342A-4E1A-9A4D-2297586243CE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I10" i="2" s="1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32" i="2"/>
  <c r="I20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I15" i="2"/>
  <c r="I12" i="2"/>
  <c r="I11" i="2"/>
  <c r="I9" i="2"/>
  <c r="I8" i="2"/>
  <c r="I7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36E5CB4-7F68-4DCE-B716-AF835EF2A9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063DE42-B7AB-4C62-9732-B0CB65EBF7D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35AC4DB-96BB-4528-AE43-361FF69D7DEC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0B7E0B3-91D4-46F4-B743-8958594280B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D12226CD-FBA4-45A5-B318-97B97C79F4E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170421D6-183D-4826-BBE8-278AC7DCB7B4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3D5E0CB0-158B-4A07-B00D-AA5FD5FE800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50EC866-F59F-4118-B53E-0AF74836820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37696A8F-A84C-41F7-AD50-A5A1A3F9D8E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C9E91DC7-3EBC-47FC-9E38-C7A6C3C5376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11E3D714-05B1-4B5F-BA71-D255CF267F1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420F55E-82B5-46F0-9EC0-D496B9F2A9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A58CAB36-19D5-48FF-860D-FE89142931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6CAB8A6F-4431-489F-8F81-8C7C25D947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C8D1948-1BEC-4182-BDC9-C3155B257F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1D58850-25E5-495C-928D-522D78C87B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B534620-3E58-4942-BCBE-63998FEB60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72A0988-140F-489B-A434-A5DFBDF921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C503A33-7C92-4712-8D2B-9C2665D7D3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1227A8E-E312-47C5-BAAA-AC27E0072D3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70671E22-B78A-4EE4-97DC-F7928F6936A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5ACF3A84-556C-4C62-9DD6-73F0FA19F0D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1F55ADF8-3839-429C-A5BB-1A5D33426157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7C021EB9-EE31-412B-A57B-9EDB357EC41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BD1909C-0C37-4516-9949-212CA8BB8DBF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A631A553-A4A9-4029-86E9-14CC607F6B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28DF4495-F76E-4CBF-9968-D65ED7ACE6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8E139CD5-D9AD-499E-A462-3DCB26A96A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5DD7A454-8A16-4B06-88E5-4C0171DADD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E96C3BD2-F2D1-4B30-BAA6-4983C3E235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70C730A7-82E3-475A-ACAD-40DC7F1460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A36F4396-23D8-483C-A66F-04B594ECDA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938102F2-FC6C-4B47-A7DC-02249DF667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C7A7373F-70F1-48D4-B6D2-6A64E5CE1A9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FCFD5989-712E-43DB-B46E-9D8EA77C188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D5CE330-2603-40D2-8B18-8CDFED5ACF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2B1E9ED6-B14C-412D-A697-529D9C72FD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72E14BB2-6CE1-4C70-B879-46C1B22755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7FCFBE1-E2EF-4F26-871E-6A1C1E7945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38142F35-E431-4349-BEE7-62160B3D76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BA7E33D2-0552-4BF8-B589-D7107DB84D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13777B2-A359-483F-B302-8C0491BE9C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C7581148-F63A-427A-AD2E-A46F39DDB1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FCA664B-4CB6-4084-9B4E-9CD7E69E93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4C0D58F1-2B32-4545-9FA8-7737FDEA9C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71F656CC-5FFB-4FF8-96B7-D9C1D6B06D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8F5B1CE-DF2E-451D-932C-F79BCC566C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29CE3C3-7028-4E68-8AFC-EA501334B0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DD502AA-5F2A-4123-AFEE-1E3C55D7FE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7937B85-485C-4567-A09C-235285DF5E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57A97FA-E070-4034-BD51-A99E180FB9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5D85007-CC7A-48BD-B842-AB2ECD6405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6FE526AE-0BEC-4E06-B621-FA0C044C14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723B7221-4AB9-4EA3-A9E2-05B6B1B4E0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9D5AE8EB-2B9F-47F0-9A8B-16B3CDF7A7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BE54B38B-4595-4C7A-BE81-7DD137FBD4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3181B336-FA4B-469F-96EB-9A504D3891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8A0ABA10-C764-4EA3-9A31-1D316B5B2E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70AE5A7D-5F85-4F44-A86F-6FE6E30295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7C73DBB1-5FE6-413B-8FC3-8F024CF830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8C154548-3512-4329-9A38-FAA9683E16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2C4191AA-11DA-4B47-A976-57226EFA00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CEC523F7-8CD6-45D5-AD29-292911B7E8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196CDD9-2BEA-4F6B-B32A-BC48F04796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06AD86E-E8C0-4910-BE94-96B0AF8228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433DAE87-8127-4BBC-9AA3-2E54EDA299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70A476C-2355-48AF-B342-21CF3A21D9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133696C5-11E3-4E2A-A804-048F1EECD3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4918183-EBBC-49B0-A03A-DD02DF485C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7D2C5B7B-C0BA-414E-B492-66F9227D48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A090C7D-6928-4C19-B6AE-828FB1A92C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F872B0C-6753-43B2-A9B8-D2164DD505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A43720C9-2BCA-495E-AB6D-9C95A82E13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7321B8B4-5581-4A98-9948-8C5BE96870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B456FD9-235D-4CBB-BB9C-D70EC42340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E09CE6FC-5791-4753-AF1B-21E6A38DAF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1F26657A-D8B8-43FE-A973-9AEA69AF95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220CCFCE-B461-4FEB-900B-290B0DB821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6AF5D4E2-C20A-4FD7-928D-472F38EC45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0F10032-B92C-48B6-9171-0D012BB59D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CBB9F98E-B32F-475A-B865-653A5D8F66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F1AD1E07-B6EC-435E-9A8D-2E32112452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B3F90C8-01DF-468C-8466-25DF0F59BD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9604270-6D50-4A16-8A81-92A235381B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B68DC9A8-1D41-4C74-AF5C-348A06C64B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543107A-25A2-4FA6-9EC3-44C54D20EA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BF0EA26-7910-46B7-9914-C0A7AF07D9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40FE13E9-E3A3-487C-A2B6-812971A287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5F9930B7-1B59-45C0-A2E6-3DA4210804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333737F6-860E-4FCD-AE07-81A59E7DB8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412B6D7E-C69C-4846-AAEE-56AE762B6A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CAA1CB43-60AA-4C6F-BDC9-42CA42F067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089D4B15-93E5-4C78-B23B-5BCC4641E1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AB2C5EE4-3436-4822-9D62-9A330AF8FF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D6584E83-8AD8-4A03-B762-07D61FC07D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C4BF4CAC-055A-4C8C-A371-739AF0F421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D2759E8-DCF2-4BA8-8949-CFF9A252F6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1EB9363-7D62-4D32-B2EF-C6F30A5A8B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748D67BF-381E-447C-B000-30307F5273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975F226-F106-48AA-B080-9F1C065870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AA73EE01-09CE-4D36-B2D7-A7B63DD108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8A7C232D-858F-40A6-8A3C-EF68A6909A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B963B1EC-7ADC-4670-BDA4-7A578DA727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42A860FB-9CA9-4377-B489-BE840A3CD3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6FFA1E74-CFD5-487F-9D63-019D4E5814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C5C8A75-C536-4813-8B80-B65AB7806A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CDECF45-FB84-48FC-9241-2691A6C8F3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5804EFE-5BF3-424E-877B-89C8ABD71C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7F22F6EA-2781-4103-8B0B-1E5FEC3B6B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88449D9F-7A81-43CE-9313-247777E49F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03010CC-9C3F-40A2-B1FD-7EB16AC98E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38C4AA55-E5D1-4442-BA84-01EFD81286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ADE0C8F3-B2B4-43BF-917E-485A3C1D9D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FBBC859-F393-456F-8B14-992BD0D6C7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E55977FC-7784-451F-A9B2-D320880517D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C44F640-5F7F-4C55-8BDF-5E87ECEE77D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D950A6B2-A418-4DE7-9C48-FAE0E497098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4BCDAB21-5EB4-4FDE-B89D-AE18075584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5D33F45-242F-41A7-B9E1-4335221357F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3AA1B52C-E2D2-49F5-AED1-C73B8D06473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8F434983-E864-43F6-BF43-DAB5AA80F9D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DD80CBA-224A-4732-A3A5-13CED673CD6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96095700-A2E5-48F1-A4D6-FE873E442B7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0018DA7-781F-4114-9CD0-D5A62BC41C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ECC3821-A09A-467A-ABE6-77F7CD0CD3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42CD33A-F5DD-45D9-9B34-4F5F601216A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DD11D3E8-6D4F-4931-AC4C-2C07FD00296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C396DC8F-27C5-4448-88C4-C9021E18BAE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6B037061-2668-407D-B0E3-69460BFE5D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C07EB69-3A8E-4F0A-80C7-F0DAE0F174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34455850-1DD5-4702-BAC1-7D170841CA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288F28CF-4E54-4E89-A249-3F33C0E744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957FECF-642A-47FF-B3C1-201FDD6A87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2AD878B8-3F7D-4666-8504-EA2A64D5FEC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FC3E65E1-5234-4610-859F-DC46F5A0F1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A296D6E3-4D62-4934-9425-FB2DBC0A435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3237B930-065F-418D-A01B-B079B3E2BF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03AE9591-82EB-4F9E-A676-B90F7EC62C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07CACA8-5C26-4D71-A075-0BF914CA9B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0D379B16-45BA-42D0-97A5-1AD59C4C57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1F2434D-1E59-43A3-B2CD-8A062A6DD3E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887B50C2-F8A3-49A6-8541-1BCF35E91F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580430BB-6A84-4701-9ECF-4989AC9E21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4281C43-81B9-4EF0-A6D7-2DDFD3DF9F5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6E1FEC0-AAA7-481F-B725-27F31D57996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6F3542E6-5AF1-4E68-93C5-BE28C8D7448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11620BC9-6F50-46BE-ABA0-CD193253F6C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D92D8BF2-DCCB-469A-B4F5-F189EEAE57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ED4CFF0E-430B-42AB-B095-1FEBBEB947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6077CBA6-46BA-42FC-9442-32432FA7AD9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A11D6EC9-4529-49FF-835A-A73DFF87C1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E94A075C-9C96-42DE-92B5-3B7F59633C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76113ED-886A-4192-B3FA-521DA50651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2C8E430-1F70-4F57-9FA1-266E9AFAF7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DDA038F-80F0-4BC1-8863-E4C30FCB7C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9631172-2342-4510-B438-46DF9025F4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6AD7617F-1F81-40D2-B648-D03220B7A5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9E577870-AE44-49FE-8967-D0CE576D696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AAF7FF3-7836-4E0C-8DDD-7093DC08D3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5D59FA7-E024-462B-9A3A-B8D6655032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A98AA8BD-0653-4FF1-A8BB-27952D387A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53DC038C-8436-4594-8E6B-3E4387DAC3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131D4495-44D3-4DA5-B631-26BD6811FD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B4C76228-8AE5-49C6-A760-8DD174BD23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7344F3E0-DACA-45CB-8554-A4DAEABC16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FBB0E587-9044-4009-A536-9D46DE6007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52638FEE-8D5C-4C15-93B2-40843572BF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6DCA5B6-7ECE-4DD6-AA3C-68D198D241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7C3D1005-0499-4D37-8289-C4B19E27F1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3EBA59F9-CDB2-4EB6-AC1A-9F6E737F2A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D668AFCC-D690-4C25-B910-A78E29C09D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1F35EA21-946E-4D73-8D39-F72F001EDE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70D08439-1836-4046-969B-1CD2EC3682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546FEF02-8D8C-483C-ACE3-177B5FD21C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759CB01-EA20-4EF0-83F4-3882BD4EE0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0D17B000-C05C-401A-AFE1-141A905133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BACFF954-CF33-4819-BAF7-545E776CF0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89E271E0-C3F5-48F7-B964-A8FE704DA3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4486931-D5AD-4ECA-B64C-F478F82952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32131F3E-9334-42E1-B8E5-44343D08C4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27F20EDB-14C1-4075-BC05-18F118E679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9A005D1A-94CC-4867-851E-2E9F80FC55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9D54121B-3D12-467B-B99F-7D4B2A54D7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73E22499-1F06-4B62-8294-85EA6CC6AE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DEA06CF4-3747-4982-B7DC-354CC63C8C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DDF84F77-8448-43F6-906E-326D671499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3080EBA0-DE2E-4E27-9BD0-406CBDF4E8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AE336872-2CAC-47F5-955B-F4D1F294B1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10FA9290-B4BD-4093-84EF-8F961C2242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1CF34365-B052-4346-A3C9-848CED04AF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D55F818E-6359-46E4-AEC9-EE65EFF259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0AD5D092-FADF-42BC-AFA7-EC6BD29368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ECBE1497-55BA-4BF3-B0E7-2E56AD3E7A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FCDA909A-37B6-40F1-B490-699F573D08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7CE7190B-DBE1-4339-B44B-244BEED1AB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95AA2DD-3468-4491-86BE-0FF17851A2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64CA18D3-3A6E-4CB1-AE5B-E7F47181BD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ED6D691F-AF0E-4383-91DC-004DEB815E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2A1681AB-C987-44DE-AFE8-96DCFCD7DD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2FC45F5-F660-463D-834C-FE83F1CCE45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3384768-8DA5-4A93-A54A-D31A4776CC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739B04C-7AEB-405F-B035-88BDE7BA7F6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BE0795A-078F-43C4-924A-84D7FB93B3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2C670088-D34D-488C-B9B4-9104A372A56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F95B6D7F-1F23-4A9F-A76A-713D9B27802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8517BE3-4331-44ED-A75F-965FC47245A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7CA6B3E0-86BC-4E4E-A1B8-07E091C1EC5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55CCE7A4-E87B-46DE-92B4-69CD439774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2DE23DE-E427-40DA-AAA5-7439587D61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3E4BBD09-3BE9-4A9B-9B0E-7A48862D7F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5DF6D3C9-409E-4C14-AFF0-D66CFD39B0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A481B92D-10FE-4167-BCEB-2E19095059D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64E01BB0-2D2E-4439-9C88-B6BE6BE6A85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2EC1DB93-A084-476B-B3A7-A15F338A198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BB361501-975E-46A9-B7C0-350AB427B82A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D788AC61-84E0-48B6-B6A4-0FC9B28C3B7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744B2E88-978B-44F1-9AEB-1500ADF7AF4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2B3E51D0-B671-47FF-A7C4-0DC2BF84A1B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05E7C53D-A287-414C-A764-1BAA79FEB04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494B557-44D1-46D4-9D2E-72093F6A3E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A6D6DF2D-004C-4A98-8A92-004A831D74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79DD2154-D6FE-41C4-A406-23A8C01F55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2FC153F-C62E-483C-86A7-2B68F91590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04351943-4538-4E66-A955-082F17E4F2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A7F07B3F-6CE4-49C6-9E8F-D2C6EA9313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7294657B-4388-48C8-8746-004D903218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6C6AECC-EFA5-4F05-B200-24ACA0E350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2E0C0A6-78CA-493F-B313-45416A095C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764EB382-AA1F-4C6E-B8B0-520EB69704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4595F0A-5365-44CC-9332-9CFAD511F5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524DA962-1223-4E29-9418-BC50E17067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78328600-DB84-4D54-BA7C-FE2C719F0A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5C2633E4-ADDC-4FED-A50E-011183A978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854F92F-CAA0-43C9-9728-38A650B9B0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70F289F2-5EBD-4792-8ECD-08906EC0D9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BA3EE9D-9CBC-4EFE-9DD9-3ECE0840BE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45E69FC4-D425-49CD-91D7-9DB0D307BF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E779D55B-0971-45DE-924B-70EF7AF2E4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B6206B5-4068-4851-BDCE-321FB6F455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594DFDC8-360A-4419-90E6-70155D41CA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19C1F47B-EF25-4553-8BA9-4A898AB84A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210C03A3-0F9F-4BDA-A58F-8231B59752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760B818D-7778-4E0C-9ACF-1AB6415B32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FDF41493-FBC6-472B-8F3D-AC36B54FEE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C23B87B-801A-48A0-BE7A-D037662907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659BD82-F8E8-40D1-8C02-EE59926FD9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4BB85E05-2835-4A6F-AC11-C7226E01A7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7CD838E4-8DA3-49D3-A251-D240EC2D91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11C61581-DE96-4B13-A0AB-F7CAF04034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9EA6DE74-EDBD-4311-A4B4-F4F9A1B988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85A0A9D-F7EF-49C6-8B8F-22D2F664F4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7E0AA119-FC1B-4961-90C4-28F79F09C1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8C01239-C5C7-46B0-B447-EF9E86E786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5C46FBF3-D811-47C7-99DD-D75A6F1C45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AF1769FF-40A6-43E9-87C4-98817CAF80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63F892E-F8DC-4E87-A742-C725FFADA0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304F831A-97E4-4C55-BA7B-0F3CFB8353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30BAB86-8B3C-4107-82A6-6919C439C3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F2D948BF-1F94-4157-9413-5DACAED69E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05851E3C-B1E3-4333-A728-532BA898F3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0F7212A-82EC-42C9-B1BA-F1F4ADCD79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93B8118-CB9B-41DF-B3AB-6B2A7E2334D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DC3BA4DA-039B-45FE-9A63-8648A88C596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6A57FC0-50E5-4D9B-8FE9-AEAD2433453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FC5C246B-78EE-47CE-8962-A004F171C39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E7F89B48-198B-48D2-A7D3-3EFBFD9BC78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AE4A07D3-BDF3-4D1B-B99A-94DDA97B9DA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8A05F305-4167-43A2-ACB0-4071966F42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51A1D485-74C3-44A1-B65E-919A29D3E9B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540A149B-DC77-459E-A538-1C5D643DA01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64D40DBA-0C92-4754-B748-8FBF0DF9A0A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FD44DBA-C848-4997-99E6-DBDE6DF8971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14180A75-87B3-466D-AD0D-FD062AEAA8F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5007503-B111-4A70-AD37-93DA67579B4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80985867-C52F-4E41-9C43-B578400D886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67B030D-872B-4E00-9A51-A9838DCE5E6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9448CB13-A991-4726-A010-CC599BCEDBB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DC3D20D-3C9A-4992-A549-5FFE7216884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2A9B534-45AE-4AAE-926B-B39CF0A29C2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69C2D349-C340-4596-BC6D-FB5514E5249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7658EE51-FDF6-40F5-B795-B283ADE6230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55E054ED-5A47-46FF-BC01-EEA16D16A99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CC7015B-A471-4982-A5A3-7B26EF59909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EA1FF2BD-BF66-4160-8BFE-3FA83F3832D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D6996EF5-C784-4F48-848A-F2A70FB1FAB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B270153-CA00-477E-85C5-29BCEB88DA6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0F2B080-ABFD-43FA-A4C0-C4959C84D19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5238D0DF-9D6F-43BF-9E08-5F9F20EB4FD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2E11DA8-155C-4023-A214-0E58466E0BD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B57CF16-28DB-407B-9359-E3C5C3E192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C378C6C5-32A4-4851-B7F1-5A4B802322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AD53010-DC3D-4255-8D33-2C24CB481D0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C8B5389-F8FE-4E0A-8B74-00859F9D894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00403D60-9C82-4F60-8EE7-DA4D43C3A44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703892A2-777E-4BE8-9551-2437B390E73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AE3E7089-7CEC-4396-8471-2A35A104CB6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4FEA74F2-0475-4C49-89A4-9D4C80120FE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6431010F-F317-4670-BBF6-7A1C7910DBCA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B68DA437-BD9D-45A7-9930-E0946D4A074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2A1B1C62-70D3-4B5B-9EE8-27794B406B6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B1AD92C8-C83A-46BC-BAA7-E5FA9DF78DB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87581208-5F5B-4473-A000-2A600D50A7C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F03D6DC0-CD87-41F3-BBAB-9BEB123873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6E58B73F-5512-471B-8424-A84A88C62BC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0390420C-DFD7-4B64-8F9B-4B58F5DD784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5E9292A-1818-47F8-B8DA-AB35E576512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2739C493-995F-432F-9DD0-D3D3B119ED7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E9803E3D-B522-48C5-A0EB-6450D589D3C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1AC958B7-0A4E-4F3E-BB71-123BD9101E0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BE0A120-68D9-4E4A-90ED-79F462EDEC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8289C42E-B874-4496-9D91-CDD031EE92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BD55CDFB-F51B-46C3-9E03-F7EC67C0E33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18698053-C54D-4029-A3BA-09EB69F385E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ECC05B70-4618-4964-AFC7-BC42EC7055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3114B2D2-8798-422E-8E2C-24FB3CE7609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CDB5A259-C710-475C-AC75-80694DD2DE3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2FFBF1DA-2197-4EC9-83E8-929D5D98191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FD842B1-B725-4401-B8C1-A772CF5DAA5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2796FB78-1A14-457F-8910-E3BC046BBA2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60D29D6-418E-47E5-8666-AC7E65B5623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3B4A13BE-EE92-4E2A-AF85-2232A05183B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0C1FA472-9A6E-4B8B-959E-E775244B802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A876539-755A-4104-840B-06FA543EEB1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<sst xmlns="http://schemas.openxmlformats.org/spreadsheetml/2006/main" count="1102" uniqueCount="271">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</sst>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3678586</v>
      </c>
    </row>
    <row r="8" spans="1:3" ht="15" customHeight="1" x14ac:dyDescent="0.25">
      <c r="B8" s="7" t="s">
        <v>106</v>
      </c>
      <c r="C8" s="70">
        <v>7.9000000000000001E-2</v>
      </c>
    </row>
    <row r="9" spans="1:3" ht="15" customHeight="1" x14ac:dyDescent="0.25">
      <c r="B9" s="9" t="s">
        <v>107</v>
      </c>
      <c r="C9" s="71">
        <v>0.1173</v>
      </c>
    </row>
    <row r="10" spans="1:3" ht="15" customHeight="1" x14ac:dyDescent="0.25">
      <c r="B10" s="9" t="s">
        <v>105</v>
      </c>
      <c r="C10" s="71">
        <v>0.77493057250976605</v>
      </c>
    </row>
    <row r="11" spans="1:3" ht="15" customHeight="1" x14ac:dyDescent="0.25">
      <c r="B11" s="7" t="s">
        <v>108</v>
      </c>
      <c r="C11" s="70">
        <v>0.90799999999999992</v>
      </c>
    </row>
    <row r="12" spans="1:3" ht="15" customHeight="1" x14ac:dyDescent="0.25">
      <c r="B12" s="7" t="s">
        <v>109</v>
      </c>
      <c r="C12" s="70">
        <v>0.79500000000000004</v>
      </c>
    </row>
    <row r="13" spans="1:3" ht="15" customHeight="1" x14ac:dyDescent="0.25">
      <c r="B13" s="7" t="s">
        <v>110</v>
      </c>
      <c r="C13" s="70">
        <v>0.10800000000000001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0.17739999999999997</v>
      </c>
    </row>
    <row r="24" spans="1:3" ht="15" customHeight="1" x14ac:dyDescent="0.25">
      <c r="B24" s="20" t="s">
        <v>102</v>
      </c>
      <c r="C24" s="71">
        <v>0.45539999999999997</v>
      </c>
    </row>
    <row r="25" spans="1:3" ht="15" customHeight="1" x14ac:dyDescent="0.25">
      <c r="B25" s="20" t="s">
        <v>103</v>
      </c>
      <c r="C25" s="71">
        <v>0.34060000000000001</v>
      </c>
    </row>
    <row r="26" spans="1:3" ht="15" customHeight="1" x14ac:dyDescent="0.25">
      <c r="B26" s="20" t="s">
        <v>104</v>
      </c>
      <c r="C26" s="71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5.3</v>
      </c>
    </row>
    <row r="38" spans="1:5" ht="15" customHeight="1" x14ac:dyDescent="0.25">
      <c r="B38" s="16" t="s">
        <v>91</v>
      </c>
      <c r="C38" s="75">
        <v>8.1999999999999993</v>
      </c>
      <c r="D38" s="17"/>
      <c r="E38" s="18"/>
    </row>
    <row r="39" spans="1:5" ht="15" customHeight="1" x14ac:dyDescent="0.25">
      <c r="B39" s="16" t="s">
        <v>90</v>
      </c>
      <c r="C39" s="75">
        <v>9.5</v>
      </c>
      <c r="D39" s="17"/>
      <c r="E39" s="17"/>
    </row>
    <row r="40" spans="1:5" ht="15" customHeight="1" x14ac:dyDescent="0.25">
      <c r="B40" s="16" t="s">
        <v>171</v>
      </c>
      <c r="C40" s="75">
        <v>2.15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2.6800000000000001E-2</v>
      </c>
      <c r="D45" s="17"/>
    </row>
    <row r="46" spans="1:5" ht="15.75" customHeight="1" x14ac:dyDescent="0.25">
      <c r="B46" s="16" t="s">
        <v>11</v>
      </c>
      <c r="C46" s="71">
        <v>9.3399999999999997E-2</v>
      </c>
      <c r="D46" s="17"/>
    </row>
    <row r="47" spans="1:5" ht="15.75" customHeight="1" x14ac:dyDescent="0.25">
      <c r="B47" s="16" t="s">
        <v>12</v>
      </c>
      <c r="C47" s="71">
        <v>0.1613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1.6292768169425003</v>
      </c>
      <c r="D51" s="17"/>
    </row>
    <row r="52" spans="1:4" ht="15" customHeight="1" x14ac:dyDescent="0.25">
      <c r="B52" s="16" t="s">
        <v>125</v>
      </c>
      <c r="C52" s="76">
        <v>1.4938345119699998</v>
      </c>
    </row>
    <row r="53" spans="1:4" ht="15.75" customHeight="1" x14ac:dyDescent="0.25">
      <c r="B53" s="16" t="s">
        <v>126</v>
      </c>
      <c r="C53" s="76">
        <v>1.4938345119699998</v>
      </c>
    </row>
    <row r="54" spans="1:4" ht="15.75" customHeight="1" x14ac:dyDescent="0.25">
      <c r="B54" s="16" t="s">
        <v>127</v>
      </c>
      <c r="C54" s="76">
        <v>1.0224597184499999</v>
      </c>
    </row>
    <row r="55" spans="1:4" ht="15.75" customHeight="1" x14ac:dyDescent="0.25">
      <c r="B55" s="16" t="s">
        <v>128</v>
      </c>
      <c r="C55" s="76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0.55480721637247754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69.29767297109683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40.13269466976994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591.06209321591393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3.2006003828390144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1.7321603842518303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1.7321603842518303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1.7321603842518303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1.7321603842518303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13.264994113565848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13.264994113565848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0.97175991346119572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13.572928096468384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13.572928096468384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13.572928096468384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28.571116697776187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23.023699585983909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4.4373468308323929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18.827044212767436</v>
      </c>
      <c r="E24" s="86" t="s">
        <v>202</v>
      </c>
    </row>
    <row r="25" spans="1:5" ht="15.75" customHeight="1" x14ac:dyDescent="0.25">
      <c r="A25" s="52" t="s">
        <v>87</v>
      </c>
      <c r="B25" s="85">
        <v>0.66500000000000004</v>
      </c>
      <c r="C25" s="85">
        <v>0.95</v>
      </c>
      <c r="D25" s="86">
        <v>18.82661809416356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5.7878162103058211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9.0263943319529787</v>
      </c>
      <c r="E27" s="86" t="s">
        <v>202</v>
      </c>
    </row>
    <row r="28" spans="1:5" ht="15.75" customHeight="1" x14ac:dyDescent="0.25">
      <c r="A28" s="52" t="s">
        <v>84</v>
      </c>
      <c r="B28" s="85">
        <v>0.63900000000000001</v>
      </c>
      <c r="C28" s="85">
        <v>0.95</v>
      </c>
      <c r="D28" s="86">
        <v>1.1582406154777254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139.36614501431498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1.6292436938648727</v>
      </c>
      <c r="E30" s="86" t="s">
        <v>202</v>
      </c>
    </row>
    <row r="31" spans="1:5" ht="15.75" customHeight="1" x14ac:dyDescent="0.25">
      <c r="A31" s="52" t="s">
        <v>28</v>
      </c>
      <c r="B31" s="85">
        <v>0.41949999999999998</v>
      </c>
      <c r="C31" s="85">
        <v>0.95</v>
      </c>
      <c r="D31" s="86">
        <v>2.1125177492988443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0.56899999999999995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0.97799999999999998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0.56600000000000006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2.4157231970998345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2.1336399554132837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0.25010780600000004</v>
      </c>
      <c r="C3" s="26">
        <f>frac_mam_1_5months * 2.6</f>
        <v>0.25010780600000004</v>
      </c>
      <c r="D3" s="26">
        <f>frac_mam_6_11months * 2.6</f>
        <v>6.2823768799999999E-2</v>
      </c>
      <c r="E3" s="26">
        <f>frac_mam_12_23months * 2.6</f>
        <v>8.7388737799999991E-2</v>
      </c>
      <c r="F3" s="26">
        <f>frac_mam_24_59months * 2.6</f>
        <v>9.3533903666666668E-2</v>
      </c>
    </row>
    <row r="4" spans="1:6" ht="15.75" customHeight="1" x14ac:dyDescent="0.25">
      <c r="A4" s="3" t="s">
        <v>66</v>
      </c>
      <c r="B4" s="26">
        <f>frac_sam_1month * 2.6</f>
        <v>6.5676936000000005E-2</v>
      </c>
      <c r="C4" s="26">
        <f>frac_sam_1_5months * 2.6</f>
        <v>6.5676936000000005E-2</v>
      </c>
      <c r="D4" s="26">
        <f>frac_sam_6_11months * 2.6</f>
        <v>2.6928667999999999E-2</v>
      </c>
      <c r="E4" s="26">
        <f>frac_sam_12_23months * 2.6</f>
        <v>4.0252030000000001E-2</v>
      </c>
      <c r="F4" s="26">
        <f>frac_sam_24_59months * 2.6</f>
        <v>3.2949168200000004E-2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697140.80627400009</v>
      </c>
      <c r="C2" s="78">
        <v>2278576</v>
      </c>
      <c r="D2" s="78">
        <v>4694277</v>
      </c>
      <c r="E2" s="78">
        <v>59478</v>
      </c>
      <c r="F2" s="78">
        <v>50709</v>
      </c>
      <c r="G2" s="22">
        <f t="shared" ref="G2:G40" si="0">C2+D2+E2+F2</f>
        <v>7083040</v>
      </c>
      <c r="H2" s="22">
        <f t="shared" ref="H2:H40" si="1">(B2 + stillbirth*B2/(1000-stillbirth))/(1-abortion)</f>
        <v>805337.96138624172</v>
      </c>
      <c r="I2" s="22">
        <f>G2-H2</f>
        <v>6277702.038613758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685649.65200000012</v>
      </c>
      <c r="C3" s="78">
        <v>2228000</v>
      </c>
      <c r="D3" s="78">
        <v>4731000</v>
      </c>
      <c r="E3" s="78">
        <v>62000</v>
      </c>
      <c r="F3" s="78">
        <v>49000</v>
      </c>
      <c r="G3" s="22">
        <f t="shared" si="0"/>
        <v>7070000</v>
      </c>
      <c r="H3" s="22">
        <f t="shared" si="1"/>
        <v>792063.3651013691</v>
      </c>
      <c r="I3" s="22">
        <f t="shared" ref="I3:I15" si="3">G3-H3</f>
        <v>6277936.6348986309</v>
      </c>
    </row>
    <row r="4" spans="1:9" ht="15.75" customHeight="1" x14ac:dyDescent="0.25">
      <c r="A4" s="7">
        <f t="shared" si="2"/>
        <v>2019</v>
      </c>
      <c r="B4" s="77">
        <v>673885.34000000008</v>
      </c>
      <c r="C4" s="78">
        <v>2179000</v>
      </c>
      <c r="D4" s="78">
        <v>4752000</v>
      </c>
      <c r="E4" s="78">
        <v>64000</v>
      </c>
      <c r="F4" s="78">
        <v>48000</v>
      </c>
      <c r="G4" s="22">
        <f t="shared" si="0"/>
        <v>7043000</v>
      </c>
      <c r="H4" s="22">
        <f t="shared" si="1"/>
        <v>778473.21665800281</v>
      </c>
      <c r="I4" s="22">
        <f t="shared" si="3"/>
        <v>6264526.7833419973</v>
      </c>
    </row>
    <row r="5" spans="1:9" ht="15.75" customHeight="1" x14ac:dyDescent="0.25">
      <c r="A5" s="7">
        <f t="shared" si="2"/>
        <v>2020</v>
      </c>
      <c r="B5" s="77">
        <v>661903.29599999997</v>
      </c>
      <c r="C5" s="78">
        <v>2135000</v>
      </c>
      <c r="D5" s="78">
        <v>4752000</v>
      </c>
      <c r="E5" s="78">
        <v>67000</v>
      </c>
      <c r="F5" s="78">
        <v>46000</v>
      </c>
      <c r="G5" s="22">
        <f t="shared" si="0"/>
        <v>7000000</v>
      </c>
      <c r="H5" s="22">
        <f t="shared" si="1"/>
        <v>764631.54392652924</v>
      </c>
      <c r="I5" s="22">
        <f t="shared" si="3"/>
        <v>6235368.4560734704</v>
      </c>
    </row>
    <row r="6" spans="1:9" ht="15.75" customHeight="1" x14ac:dyDescent="0.25">
      <c r="A6" s="7">
        <f t="shared" si="2"/>
        <v>2021</v>
      </c>
      <c r="B6" s="77">
        <v>657159.18839999998</v>
      </c>
      <c r="C6" s="78">
        <v>2101000</v>
      </c>
      <c r="D6" s="78">
        <v>4735000</v>
      </c>
      <c r="E6" s="78">
        <v>69000</v>
      </c>
      <c r="F6" s="78">
        <v>46000</v>
      </c>
      <c r="G6" s="22">
        <f t="shared" si="0"/>
        <v>6951000</v>
      </c>
      <c r="H6" s="22">
        <f t="shared" si="1"/>
        <v>759151.14468896203</v>
      </c>
      <c r="I6" s="22">
        <f t="shared" si="3"/>
        <v>6191848.855311038</v>
      </c>
    </row>
    <row r="7" spans="1:9" ht="15.75" customHeight="1" x14ac:dyDescent="0.25">
      <c r="A7" s="7">
        <f t="shared" si="2"/>
        <v>2022</v>
      </c>
      <c r="B7" s="77">
        <v>652241.74080000003</v>
      </c>
      <c r="C7" s="78">
        <v>2072000</v>
      </c>
      <c r="D7" s="78">
        <v>4695000</v>
      </c>
      <c r="E7" s="78">
        <v>70000</v>
      </c>
      <c r="F7" s="78">
        <v>45000</v>
      </c>
      <c r="G7" s="22">
        <f t="shared" si="0"/>
        <v>6882000</v>
      </c>
      <c r="H7" s="22">
        <f t="shared" si="1"/>
        <v>753470.50285912317</v>
      </c>
      <c r="I7" s="22">
        <f t="shared" si="3"/>
        <v>6128529.4971408769</v>
      </c>
    </row>
    <row r="8" spans="1:9" ht="15.75" customHeight="1" x14ac:dyDescent="0.25">
      <c r="A8" s="7">
        <f t="shared" si="2"/>
        <v>2023</v>
      </c>
      <c r="B8" s="77">
        <v>647155.04340000008</v>
      </c>
      <c r="C8" s="78">
        <v>2047000</v>
      </c>
      <c r="D8" s="78">
        <v>4635000</v>
      </c>
      <c r="E8" s="78">
        <v>71000</v>
      </c>
      <c r="F8" s="78">
        <v>44000</v>
      </c>
      <c r="G8" s="22">
        <f t="shared" si="0"/>
        <v>6797000</v>
      </c>
      <c r="H8" s="22">
        <f t="shared" si="1"/>
        <v>747594.3434413448</v>
      </c>
      <c r="I8" s="22">
        <f t="shared" si="3"/>
        <v>6049405.6565586552</v>
      </c>
    </row>
    <row r="9" spans="1:9" ht="15.75" customHeight="1" x14ac:dyDescent="0.25">
      <c r="A9" s="7">
        <f t="shared" si="2"/>
        <v>2024</v>
      </c>
      <c r="B9" s="77">
        <v>641930.83200000017</v>
      </c>
      <c r="C9" s="78">
        <v>2023000</v>
      </c>
      <c r="D9" s="78">
        <v>4568000</v>
      </c>
      <c r="E9" s="78">
        <v>73000</v>
      </c>
      <c r="F9" s="78">
        <v>45000</v>
      </c>
      <c r="G9" s="22">
        <f t="shared" si="0"/>
        <v>6709000</v>
      </c>
      <c r="H9" s="22">
        <f t="shared" si="1"/>
        <v>741559.3276728472</v>
      </c>
      <c r="I9" s="22">
        <f t="shared" si="3"/>
        <v>5967440.6723271525</v>
      </c>
    </row>
    <row r="10" spans="1:9" ht="15.75" customHeight="1" x14ac:dyDescent="0.25">
      <c r="A10" s="7">
        <f t="shared" si="2"/>
        <v>2025</v>
      </c>
      <c r="B10" s="77">
        <v>636572.47499999998</v>
      </c>
      <c r="C10" s="78">
        <v>1998000</v>
      </c>
      <c r="D10" s="78">
        <v>4498000</v>
      </c>
      <c r="E10" s="78">
        <v>77000</v>
      </c>
      <c r="F10" s="78">
        <v>47000</v>
      </c>
      <c r="G10" s="22">
        <f t="shared" si="0"/>
        <v>6620000</v>
      </c>
      <c r="H10" s="22">
        <f t="shared" si="1"/>
        <v>735369.34673366824</v>
      </c>
      <c r="I10" s="22">
        <f t="shared" si="3"/>
        <v>5884630.6532663321</v>
      </c>
    </row>
    <row r="11" spans="1:9" ht="15.75" customHeight="1" x14ac:dyDescent="0.25">
      <c r="A11" s="7">
        <f t="shared" si="2"/>
        <v>2026</v>
      </c>
      <c r="B11" s="77">
        <v>634971.82979999995</v>
      </c>
      <c r="C11" s="78">
        <v>1974000</v>
      </c>
      <c r="D11" s="78">
        <v>4429000</v>
      </c>
      <c r="E11" s="78">
        <v>80000</v>
      </c>
      <c r="F11" s="78">
        <v>48000</v>
      </c>
      <c r="G11" s="22">
        <f t="shared" si="0"/>
        <v>6531000</v>
      </c>
      <c r="H11" s="22">
        <f t="shared" si="1"/>
        <v>733520.27932767279</v>
      </c>
      <c r="I11" s="22">
        <f t="shared" si="3"/>
        <v>5797479.7206723271</v>
      </c>
    </row>
    <row r="12" spans="1:9" ht="15.75" customHeight="1" x14ac:dyDescent="0.25">
      <c r="A12" s="7">
        <f t="shared" si="2"/>
        <v>2027</v>
      </c>
      <c r="B12" s="77">
        <v>633261.46539999987</v>
      </c>
      <c r="C12" s="78">
        <v>1952000</v>
      </c>
      <c r="D12" s="78">
        <v>4355000</v>
      </c>
      <c r="E12" s="78">
        <v>87000</v>
      </c>
      <c r="F12" s="78">
        <v>50000</v>
      </c>
      <c r="G12" s="22">
        <f t="shared" si="0"/>
        <v>6444000</v>
      </c>
      <c r="H12" s="22">
        <f t="shared" si="1"/>
        <v>731544.46415987972</v>
      </c>
      <c r="I12" s="22">
        <f t="shared" si="3"/>
        <v>5712455.5358401202</v>
      </c>
    </row>
    <row r="13" spans="1:9" ht="15.75" customHeight="1" x14ac:dyDescent="0.25">
      <c r="A13" s="7">
        <f t="shared" si="2"/>
        <v>2028</v>
      </c>
      <c r="B13" s="77">
        <v>631433.2139999998</v>
      </c>
      <c r="C13" s="78">
        <v>1928000</v>
      </c>
      <c r="D13" s="78">
        <v>4281000</v>
      </c>
      <c r="E13" s="78">
        <v>92000</v>
      </c>
      <c r="F13" s="78">
        <v>53000</v>
      </c>
      <c r="G13" s="22">
        <f t="shared" si="0"/>
        <v>6354000</v>
      </c>
      <c r="H13" s="22">
        <f t="shared" si="1"/>
        <v>729432.46577716141</v>
      </c>
      <c r="I13" s="22">
        <f t="shared" si="3"/>
        <v>5624567.5342228385</v>
      </c>
    </row>
    <row r="14" spans="1:9" ht="15.75" customHeight="1" x14ac:dyDescent="0.25">
      <c r="A14" s="7">
        <f t="shared" si="2"/>
        <v>2029</v>
      </c>
      <c r="B14" s="77">
        <v>629488.0427999997</v>
      </c>
      <c r="C14" s="78">
        <v>1900000</v>
      </c>
      <c r="D14" s="78">
        <v>4209000</v>
      </c>
      <c r="E14" s="78">
        <v>98000</v>
      </c>
      <c r="F14" s="78">
        <v>55000</v>
      </c>
      <c r="G14" s="22">
        <f t="shared" si="0"/>
        <v>6262000</v>
      </c>
      <c r="H14" s="22">
        <f t="shared" si="1"/>
        <v>727185.40149020939</v>
      </c>
      <c r="I14" s="22">
        <f t="shared" si="3"/>
        <v>5534814.5985097904</v>
      </c>
    </row>
    <row r="15" spans="1:9" ht="15.75" customHeight="1" x14ac:dyDescent="0.25">
      <c r="A15" s="7">
        <f t="shared" si="2"/>
        <v>2030</v>
      </c>
      <c r="B15" s="77">
        <v>627399.88600000006</v>
      </c>
      <c r="C15" s="78">
        <v>1865000</v>
      </c>
      <c r="D15" s="78">
        <v>4142000</v>
      </c>
      <c r="E15" s="78">
        <v>103000</v>
      </c>
      <c r="F15" s="78">
        <v>57000</v>
      </c>
      <c r="G15" s="22">
        <f t="shared" si="0"/>
        <v>6167000</v>
      </c>
      <c r="H15" s="22">
        <f t="shared" si="1"/>
        <v>724773.16005313932</v>
      </c>
      <c r="I15" s="22">
        <f t="shared" si="3"/>
        <v>5442226.8399468604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127.0721423207994</v>
      </c>
      <c r="I17" s="22">
        <f t="shared" si="4"/>
        <v>-127.0721423207994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1.15292685E-2</v>
      </c>
    </row>
    <row r="4" spans="1:8" ht="15.75" customHeight="1" x14ac:dyDescent="0.25">
      <c r="B4" s="24" t="s">
        <v>7</v>
      </c>
      <c r="C4" s="79">
        <v>0.24954989414487228</v>
      </c>
    </row>
    <row r="5" spans="1:8" ht="15.75" customHeight="1" x14ac:dyDescent="0.25">
      <c r="B5" s="24" t="s">
        <v>8</v>
      </c>
      <c r="C5" s="79">
        <v>5.9061655061709149E-2</v>
      </c>
    </row>
    <row r="6" spans="1:8" ht="15.75" customHeight="1" x14ac:dyDescent="0.25">
      <c r="B6" s="24" t="s">
        <v>10</v>
      </c>
      <c r="C6" s="79">
        <v>7.8442138033413225E-2</v>
      </c>
    </row>
    <row r="7" spans="1:8" ht="15.75" customHeight="1" x14ac:dyDescent="0.25">
      <c r="B7" s="24" t="s">
        <v>13</v>
      </c>
      <c r="C7" s="79">
        <v>0.22250219996567527</v>
      </c>
    </row>
    <row r="8" spans="1:8" ht="15.75" customHeight="1" x14ac:dyDescent="0.25">
      <c r="B8" s="24" t="s">
        <v>14</v>
      </c>
      <c r="C8" s="79">
        <v>3.0782525243826378E-4</v>
      </c>
    </row>
    <row r="9" spans="1:8" ht="15.75" customHeight="1" x14ac:dyDescent="0.25">
      <c r="B9" s="24" t="s">
        <v>27</v>
      </c>
      <c r="C9" s="79">
        <v>0.21163079020471801</v>
      </c>
    </row>
    <row r="10" spans="1:8" ht="15.75" customHeight="1" x14ac:dyDescent="0.25">
      <c r="B10" s="24" t="s">
        <v>15</v>
      </c>
      <c r="C10" s="79">
        <v>0.16697622883717389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5.4204713543366194E-2</v>
      </c>
      <c r="D14" s="79">
        <v>5.4204713543366194E-2</v>
      </c>
      <c r="E14" s="79">
        <v>2.3997641778813097E-2</v>
      </c>
      <c r="F14" s="79">
        <v>2.3997641778813097E-2</v>
      </c>
    </row>
    <row r="15" spans="1:8" ht="15.75" customHeight="1" x14ac:dyDescent="0.25">
      <c r="B15" s="24" t="s">
        <v>16</v>
      </c>
      <c r="C15" s="79">
        <v>0.179038834788247</v>
      </c>
      <c r="D15" s="79">
        <v>0.179038834788247</v>
      </c>
      <c r="E15" s="79">
        <v>0.102043391291002</v>
      </c>
      <c r="F15" s="79">
        <v>0.102043391291002</v>
      </c>
    </row>
    <row r="16" spans="1:8" ht="15.75" customHeight="1" x14ac:dyDescent="0.25">
      <c r="B16" s="24" t="s">
        <v>17</v>
      </c>
      <c r="C16" s="79">
        <v>2.2471475184759001E-2</v>
      </c>
      <c r="D16" s="79">
        <v>2.2471475184759001E-2</v>
      </c>
      <c r="E16" s="79">
        <v>1.8642176850742199E-2</v>
      </c>
      <c r="F16" s="79">
        <v>1.8642176850742199E-2</v>
      </c>
    </row>
    <row r="17" spans="1:8" ht="15.75" customHeight="1" x14ac:dyDescent="0.25">
      <c r="B17" s="24" t="s">
        <v>18</v>
      </c>
      <c r="C17" s="79">
        <v>8.5730593102563701E-3</v>
      </c>
      <c r="D17" s="79">
        <v>8.5730593102563701E-3</v>
      </c>
      <c r="E17" s="79">
        <v>1.7049458599081101E-2</v>
      </c>
      <c r="F17" s="79">
        <v>1.7049458599081101E-2</v>
      </c>
    </row>
    <row r="18" spans="1:8" ht="15.75" customHeight="1" x14ac:dyDescent="0.25">
      <c r="B18" s="24" t="s">
        <v>19</v>
      </c>
      <c r="C18" s="79">
        <v>1.42710189865671E-4</v>
      </c>
      <c r="D18" s="79">
        <v>1.42710189865671E-4</v>
      </c>
      <c r="E18" s="79">
        <v>4.2403931954014697E-4</v>
      </c>
      <c r="F18" s="79">
        <v>4.2403931954014697E-4</v>
      </c>
    </row>
    <row r="19" spans="1:8" ht="15.75" customHeight="1" x14ac:dyDescent="0.25">
      <c r="B19" s="24" t="s">
        <v>20</v>
      </c>
      <c r="C19" s="79">
        <v>4.1518746413542598E-2</v>
      </c>
      <c r="D19" s="79">
        <v>4.1518746413542598E-2</v>
      </c>
      <c r="E19" s="79">
        <v>3.4701866335342099E-2</v>
      </c>
      <c r="F19" s="79">
        <v>3.4701866335342099E-2</v>
      </c>
    </row>
    <row r="20" spans="1:8" ht="15.75" customHeight="1" x14ac:dyDescent="0.25">
      <c r="B20" s="24" t="s">
        <v>21</v>
      </c>
      <c r="C20" s="79">
        <v>1.7711023054663499E-2</v>
      </c>
      <c r="D20" s="79">
        <v>1.7711023054663499E-2</v>
      </c>
      <c r="E20" s="79">
        <v>7.5089895942679799E-2</v>
      </c>
      <c r="F20" s="79">
        <v>7.5089895942679799E-2</v>
      </c>
    </row>
    <row r="21" spans="1:8" ht="15.75" customHeight="1" x14ac:dyDescent="0.25">
      <c r="B21" s="24" t="s">
        <v>22</v>
      </c>
      <c r="C21" s="79">
        <v>9.232463916317761E-2</v>
      </c>
      <c r="D21" s="79">
        <v>9.232463916317761E-2</v>
      </c>
      <c r="E21" s="79">
        <v>0.32851344428645102</v>
      </c>
      <c r="F21" s="79">
        <v>0.32851344428645102</v>
      </c>
    </row>
    <row r="22" spans="1:8" ht="15.75" customHeight="1" x14ac:dyDescent="0.25">
      <c r="B22" s="24" t="s">
        <v>23</v>
      </c>
      <c r="C22" s="79">
        <v>0.584014798352122</v>
      </c>
      <c r="D22" s="79">
        <v>0.584014798352122</v>
      </c>
      <c r="E22" s="79">
        <v>0.39953808559634851</v>
      </c>
      <c r="F22" s="79">
        <v>0.39953808559634851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2.3700000000000002E-2</v>
      </c>
    </row>
    <row r="27" spans="1:8" ht="15.75" customHeight="1" x14ac:dyDescent="0.25">
      <c r="B27" s="24" t="s">
        <v>39</v>
      </c>
      <c r="C27" s="79">
        <v>2.06E-2</v>
      </c>
    </row>
    <row r="28" spans="1:8" ht="15.75" customHeight="1" x14ac:dyDescent="0.25">
      <c r="B28" s="24" t="s">
        <v>40</v>
      </c>
      <c r="C28" s="79">
        <v>0.32409999999999994</v>
      </c>
    </row>
    <row r="29" spans="1:8" ht="15.75" customHeight="1" x14ac:dyDescent="0.25">
      <c r="B29" s="24" t="s">
        <v>41</v>
      </c>
      <c r="C29" s="79">
        <v>0.1346</v>
      </c>
    </row>
    <row r="30" spans="1:8" ht="15.75" customHeight="1" x14ac:dyDescent="0.25">
      <c r="B30" s="24" t="s">
        <v>42</v>
      </c>
      <c r="C30" s="79">
        <v>2.7900000000000001E-2</v>
      </c>
    </row>
    <row r="31" spans="1:8" ht="15.75" customHeight="1" x14ac:dyDescent="0.25">
      <c r="B31" s="24" t="s">
        <v>43</v>
      </c>
      <c r="C31" s="79">
        <v>0.1225</v>
      </c>
    </row>
    <row r="32" spans="1:8" ht="15.75" customHeight="1" x14ac:dyDescent="0.25">
      <c r="B32" s="24" t="s">
        <v>44</v>
      </c>
      <c r="C32" s="79">
        <v>0.15629999999999999</v>
      </c>
    </row>
    <row r="33" spans="2:3" ht="15.75" customHeight="1" x14ac:dyDescent="0.25">
      <c r="B33" s="24" t="s">
        <v>45</v>
      </c>
      <c r="C33" s="79">
        <v>0.1075</v>
      </c>
    </row>
    <row r="34" spans="2:3" ht="15.75" customHeight="1" x14ac:dyDescent="0.25">
      <c r="B34" s="24" t="s">
        <v>46</v>
      </c>
      <c r="C34" s="79">
        <v>8.2799999997764828E-2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0.78701608782840615</v>
      </c>
      <c r="D2" s="80">
        <v>0.78701608782840615</v>
      </c>
      <c r="E2" s="80">
        <v>0.76321628434122357</v>
      </c>
      <c r="F2" s="80">
        <v>0.61538087954265652</v>
      </c>
      <c r="G2" s="80">
        <v>0.63847401692273231</v>
      </c>
    </row>
    <row r="3" spans="1:15" ht="15.75" customHeight="1" x14ac:dyDescent="0.25">
      <c r="A3" s="5"/>
      <c r="B3" s="11" t="s">
        <v>118</v>
      </c>
      <c r="C3" s="80">
        <v>0.18475682549630268</v>
      </c>
      <c r="D3" s="80">
        <v>0.18475682549630268</v>
      </c>
      <c r="E3" s="80">
        <v>0.17964937154493416</v>
      </c>
      <c r="F3" s="80">
        <v>0.29126568319990503</v>
      </c>
      <c r="G3" s="80">
        <v>0.23161336729460275</v>
      </c>
    </row>
    <row r="4" spans="1:15" ht="15.75" customHeight="1" x14ac:dyDescent="0.25">
      <c r="A4" s="5"/>
      <c r="B4" s="11" t="s">
        <v>116</v>
      </c>
      <c r="C4" s="81">
        <v>2.4826232858990941E-2</v>
      </c>
      <c r="D4" s="81">
        <v>2.4826232858990941E-2</v>
      </c>
      <c r="E4" s="81">
        <v>4.8632209573091847E-2</v>
      </c>
      <c r="F4" s="81">
        <v>7.5668997412677866E-2</v>
      </c>
      <c r="G4" s="81">
        <v>8.9612498059508397E-2</v>
      </c>
    </row>
    <row r="5" spans="1:15" ht="15.75" customHeight="1" x14ac:dyDescent="0.25">
      <c r="A5" s="5"/>
      <c r="B5" s="11" t="s">
        <v>119</v>
      </c>
      <c r="C5" s="81">
        <v>3.4008538163001287E-3</v>
      </c>
      <c r="D5" s="81">
        <v>3.4008538163001287E-3</v>
      </c>
      <c r="E5" s="81">
        <v>8.5021345407503227E-3</v>
      </c>
      <c r="F5" s="81">
        <v>1.7684439844760671E-2</v>
      </c>
      <c r="G5" s="81">
        <v>4.0300117723156524E-2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0.71824121765402837</v>
      </c>
      <c r="D8" s="80">
        <v>0.71824121765402837</v>
      </c>
      <c r="E8" s="80">
        <v>0.83344840198290604</v>
      </c>
      <c r="F8" s="80">
        <v>0.83004626775945378</v>
      </c>
      <c r="G8" s="80">
        <v>0.79008925988841505</v>
      </c>
    </row>
    <row r="9" spans="1:15" ht="15.75" customHeight="1" x14ac:dyDescent="0.25">
      <c r="B9" s="7" t="s">
        <v>121</v>
      </c>
      <c r="C9" s="80">
        <v>0.16030311234597155</v>
      </c>
      <c r="D9" s="80">
        <v>0.16030311234597155</v>
      </c>
      <c r="E9" s="80">
        <v>0.13203143001709403</v>
      </c>
      <c r="F9" s="80">
        <v>0.12086112924054623</v>
      </c>
      <c r="G9" s="80">
        <v>0.1612634047782516</v>
      </c>
    </row>
    <row r="10" spans="1:15" ht="15.75" customHeight="1" x14ac:dyDescent="0.25">
      <c r="B10" s="7" t="s">
        <v>122</v>
      </c>
      <c r="C10" s="81">
        <v>9.6195310000000006E-2</v>
      </c>
      <c r="D10" s="81">
        <v>9.6195310000000006E-2</v>
      </c>
      <c r="E10" s="81">
        <v>2.4162988E-2</v>
      </c>
      <c r="F10" s="81">
        <v>3.3611052999999995E-2</v>
      </c>
      <c r="G10" s="81">
        <v>3.5974578333333333E-2</v>
      </c>
    </row>
    <row r="11" spans="1:15" ht="15.75" customHeight="1" x14ac:dyDescent="0.25">
      <c r="B11" s="7" t="s">
        <v>123</v>
      </c>
      <c r="C11" s="81">
        <v>2.5260359999999999E-2</v>
      </c>
      <c r="D11" s="81">
        <v>2.5260359999999999E-2</v>
      </c>
      <c r="E11" s="81">
        <v>1.0357179999999999E-2</v>
      </c>
      <c r="F11" s="81">
        <v>1.548155E-2</v>
      </c>
      <c r="G11" s="81">
        <v>1.2672757E-2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0.72000545300000018</v>
      </c>
      <c r="D14" s="82">
        <v>0.69848994093299988</v>
      </c>
      <c r="E14" s="82">
        <v>0.69848994093299988</v>
      </c>
      <c r="F14" s="82">
        <v>0.198210452137</v>
      </c>
      <c r="G14" s="82">
        <v>0.198210452137</v>
      </c>
      <c r="H14" s="83">
        <v>0.40200000000000002</v>
      </c>
      <c r="I14" s="83">
        <v>0.40200000000000002</v>
      </c>
      <c r="J14" s="83">
        <v>0.40200000000000002</v>
      </c>
      <c r="K14" s="83">
        <v>0.40200000000000002</v>
      </c>
      <c r="L14" s="83">
        <v>9.2620671467399995E-2</v>
      </c>
      <c r="M14" s="83">
        <v>0.12297905400010001</v>
      </c>
      <c r="N14" s="83">
        <v>0.1119387003516</v>
      </c>
      <c r="O14" s="83">
        <v>0.11651154745849998</v>
      </c>
    </row>
    <row r="15" spans="1:15" ht="15.75" customHeight="1" x14ac:dyDescent="0.25">
      <c r="B15" s="16" t="s">
        <v>68</v>
      </c>
      <c r="C15" s="80">
        <f>iron_deficiency_anaemia*C14</f>
        <v>0.39946422115193481</v>
      </c>
      <c r="D15" s="80">
        <f t="shared" ref="D15:O15" si="0">iron_deficiency_anaemia*D14</f>
        <v>0.3875272597932139</v>
      </c>
      <c r="E15" s="80">
        <f t="shared" si="0"/>
        <v>0.3875272597932139</v>
      </c>
      <c r="F15" s="80">
        <f t="shared" si="0"/>
        <v>0.10996858920605916</v>
      </c>
      <c r="G15" s="80">
        <f t="shared" si="0"/>
        <v>0.10996858920605916</v>
      </c>
      <c r="H15" s="80">
        <f t="shared" si="0"/>
        <v>0.22303250098173599</v>
      </c>
      <c r="I15" s="80">
        <f t="shared" si="0"/>
        <v>0.22303250098173599</v>
      </c>
      <c r="J15" s="80">
        <f t="shared" si="0"/>
        <v>0.22303250098173599</v>
      </c>
      <c r="K15" s="80">
        <f t="shared" si="0"/>
        <v>0.22303250098173599</v>
      </c>
      <c r="L15" s="80">
        <f t="shared" si="0"/>
        <v>5.1386616915377943E-2</v>
      </c>
      <c r="M15" s="80">
        <f t="shared" si="0"/>
        <v>6.8229666621916082E-2</v>
      </c>
      <c r="N15" s="80">
        <f t="shared" si="0"/>
        <v>6.2104398746424067E-2</v>
      </c>
      <c r="O15" s="80">
        <f t="shared" si="0"/>
        <v>6.4641447320700179E-2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5.2999999999999999E-2</v>
      </c>
      <c r="D2" s="81">
        <v>5.2999999999999999E-2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0.379</v>
      </c>
      <c r="D3" s="81">
        <v>0.26700000000000002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0.54500000000000004</v>
      </c>
      <c r="D4" s="81">
        <v>0.54500000000000004</v>
      </c>
      <c r="E4" s="81">
        <v>0.59799999999999998</v>
      </c>
      <c r="F4" s="81">
        <v>0.70399999999999996</v>
      </c>
      <c r="G4" s="81">
        <v>0</v>
      </c>
    </row>
    <row r="5" spans="1:7" x14ac:dyDescent="0.25">
      <c r="B5" s="43" t="s">
        <v>169</v>
      </c>
      <c r="C5" s="80">
        <f>1-SUM(C2:C4)</f>
        <v>2.2999999999999909E-2</v>
      </c>
      <c r="D5" s="80">
        <f>1-SUM(D2:D4)</f>
        <v>0.13500000000000001</v>
      </c>
      <c r="E5" s="80">
        <f>1-SUM(E2:E4)</f>
        <v>0.40200000000000002</v>
      </c>
      <c r="F5" s="80">
        <f>1-SUM(F2:F4)</f>
        <v>0.29600000000000004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0.14288999999999999</v>
      </c>
      <c r="D2" s="144">
        <v>0.14113000000000001</v>
      </c>
      <c r="E2" s="144">
        <v>0.13941999999999999</v>
      </c>
      <c r="F2" s="144">
        <v>0.13772999999999999</v>
      </c>
      <c r="G2" s="144">
        <v>0.13608000000000001</v>
      </c>
      <c r="H2" s="144">
        <v>0.13435</v>
      </c>
      <c r="I2" s="144">
        <v>0.13266999999999998</v>
      </c>
      <c r="J2" s="144">
        <v>0.13101000000000002</v>
      </c>
      <c r="K2" s="144">
        <v>0.12939000000000001</v>
      </c>
      <c r="L2" s="144">
        <v>0.12781000000000001</v>
      </c>
      <c r="M2" s="144">
        <v>0.12625</v>
      </c>
      <c r="N2" s="144">
        <v>0.12473000000000001</v>
      </c>
      <c r="O2" s="144">
        <v>0.12325</v>
      </c>
      <c r="P2" s="144">
        <v>0.12180999999999999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6.7229999999999998E-2</v>
      </c>
      <c r="D4" s="144">
        <v>6.8049999999999999E-2</v>
      </c>
      <c r="E4" s="144">
        <v>6.8909999999999999E-2</v>
      </c>
      <c r="F4" s="144">
        <v>6.9820000000000007E-2</v>
      </c>
      <c r="G4" s="144">
        <v>7.078000000000001E-2</v>
      </c>
      <c r="H4" s="144">
        <v>7.1680000000000008E-2</v>
      </c>
      <c r="I4" s="144">
        <v>7.2610000000000008E-2</v>
      </c>
      <c r="J4" s="144">
        <v>7.3550000000000004E-2</v>
      </c>
      <c r="K4" s="144">
        <v>7.4520000000000003E-2</v>
      </c>
      <c r="L4" s="144">
        <v>7.5499999999999998E-2</v>
      </c>
      <c r="M4" s="144">
        <v>7.6499999999999999E-2</v>
      </c>
      <c r="N4" s="144">
        <v>7.7510000000000009E-2</v>
      </c>
      <c r="O4" s="144">
        <v>7.8539999999999999E-2</v>
      </c>
      <c r="P4" s="144">
        <v>7.961E-2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0.16567927267946878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0.22303250098173599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6.3048234613351226E-2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5.2999999999999999E-2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0.66866666666666663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8.702</v>
      </c>
      <c r="D13" s="143">
        <v>8.3070000000000004</v>
      </c>
      <c r="E13" s="143">
        <v>7.9340000000000002</v>
      </c>
      <c r="F13" s="143">
        <v>7.5839999999999996</v>
      </c>
      <c r="G13" s="143">
        <v>7</v>
      </c>
      <c r="H13" s="143">
        <v>6.702</v>
      </c>
      <c r="I13" s="143">
        <v>6.4130000000000003</v>
      </c>
      <c r="J13" s="143">
        <v>6.149</v>
      </c>
      <c r="K13" s="143">
        <v>5.9</v>
      </c>
      <c r="L13" s="143">
        <v>5.6609999999999996</v>
      </c>
      <c r="M13" s="143">
        <v>5.33</v>
      </c>
      <c r="N13" s="143">
        <v>5.0880000000000001</v>
      </c>
      <c r="O13" s="143">
        <v>4.9020000000000001</v>
      </c>
      <c r="P13" s="143">
        <v>4.7160000000000002</v>
      </c>
    </row>
    <row r="14" spans="1:16" x14ac:dyDescent="0.25">
      <c r="B14" s="16" t="s">
        <v>170</v>
      </c>
      <c r="C14" s="143">
        <f>maternal_mortality</f>
        <v>2.15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7.9000000000000001E-2</v>
      </c>
      <c r="E2" s="92">
        <f>food_insecure</f>
        <v>7.9000000000000001E-2</v>
      </c>
      <c r="F2" s="92">
        <f>food_insecure</f>
        <v>7.9000000000000001E-2</v>
      </c>
      <c r="G2" s="92">
        <f>food_insecure</f>
        <v>7.9000000000000001E-2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7.9000000000000001E-2</v>
      </c>
      <c r="F5" s="92">
        <f>food_insecure</f>
        <v>7.9000000000000001E-2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6.266449295932694E-2</v>
      </c>
      <c r="D7" s="92">
        <f>diarrhoea_1_5mo/26</f>
        <v>5.7455173537307683E-2</v>
      </c>
      <c r="E7" s="92">
        <f>diarrhoea_6_11mo/26</f>
        <v>5.7455173537307683E-2</v>
      </c>
      <c r="F7" s="92">
        <f>diarrhoea_12_23mo/26</f>
        <v>3.9325373786538456E-2</v>
      </c>
      <c r="G7" s="92">
        <f>diarrhoea_24_59mo/26</f>
        <v>3.9325373786538456E-2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7.9000000000000001E-2</v>
      </c>
      <c r="F8" s="92">
        <f>food_insecure</f>
        <v>7.9000000000000001E-2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0.79500000000000004</v>
      </c>
      <c r="E9" s="92">
        <f>IF(ISBLANK(comm_deliv), frac_children_health_facility,1)</f>
        <v>0.79500000000000004</v>
      </c>
      <c r="F9" s="92">
        <f>IF(ISBLANK(comm_deliv), frac_children_health_facility,1)</f>
        <v>0.79500000000000004</v>
      </c>
      <c r="G9" s="92">
        <f>IF(ISBLANK(comm_deliv), frac_children_health_facility,1)</f>
        <v>0.79500000000000004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6.266449295932694E-2</v>
      </c>
      <c r="D11" s="92">
        <f>diarrhoea_1_5mo/26</f>
        <v>5.7455173537307683E-2</v>
      </c>
      <c r="E11" s="92">
        <f>diarrhoea_6_11mo/26</f>
        <v>5.7455173537307683E-2</v>
      </c>
      <c r="F11" s="92">
        <f>diarrhoea_12_23mo/26</f>
        <v>3.9325373786538456E-2</v>
      </c>
      <c r="G11" s="92">
        <f>diarrhoea_24_59mo/26</f>
        <v>3.9325373786538456E-2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7.9000000000000001E-2</v>
      </c>
      <c r="I14" s="92">
        <f>food_insecure</f>
        <v>7.9000000000000001E-2</v>
      </c>
      <c r="J14" s="92">
        <f>food_insecure</f>
        <v>7.9000000000000001E-2</v>
      </c>
      <c r="K14" s="92">
        <f>food_insecure</f>
        <v>7.9000000000000001E-2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0.90799999999999992</v>
      </c>
      <c r="I17" s="92">
        <f>frac_PW_health_facility</f>
        <v>0.90799999999999992</v>
      </c>
      <c r="J17" s="92">
        <f>frac_PW_health_facility</f>
        <v>0.90799999999999992</v>
      </c>
      <c r="K17" s="92">
        <f>frac_PW_health_facility</f>
        <v>0.90799999999999992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0.1173</v>
      </c>
      <c r="I18" s="92">
        <f>frac_malaria_risk</f>
        <v>0.1173</v>
      </c>
      <c r="J18" s="92">
        <f>frac_malaria_risk</f>
        <v>0.1173</v>
      </c>
      <c r="K18" s="92">
        <f>frac_malaria_risk</f>
        <v>0.1173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0.10800000000000001</v>
      </c>
      <c r="M23" s="92">
        <f>famplan_unmet_need</f>
        <v>0.10800000000000001</v>
      </c>
      <c r="N23" s="92">
        <f>famplan_unmet_need</f>
        <v>0.10800000000000001</v>
      </c>
      <c r="O23" s="92">
        <f>famplan_unmet_need</f>
        <v>0.10800000000000001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0.11401792127227761</v>
      </c>
      <c r="M24" s="92">
        <f>(1-food_insecure)*(0.49)+food_insecure*(0.7)</f>
        <v>0.50658999999999998</v>
      </c>
      <c r="N24" s="92">
        <f>(1-food_insecure)*(0.49)+food_insecure*(0.7)</f>
        <v>0.50658999999999998</v>
      </c>
      <c r="O24" s="92">
        <f>(1-food_insecure)*(0.49)+food_insecure*(0.7)</f>
        <v>0.50658999999999998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4.8864823402404688E-2</v>
      </c>
      <c r="M25" s="92">
        <f>(1-food_insecure)*(0.21)+food_insecure*(0.3)</f>
        <v>0.21711</v>
      </c>
      <c r="N25" s="92">
        <f>(1-food_insecure)*(0.21)+food_insecure*(0.3)</f>
        <v>0.21711</v>
      </c>
      <c r="O25" s="92">
        <f>(1-food_insecure)*(0.21)+food_insecure*(0.3)</f>
        <v>0.21711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6.218668281555164E-2</v>
      </c>
      <c r="M26" s="92">
        <f>(1-food_insecure)*(0.3)</f>
        <v>0.27629999999999999</v>
      </c>
      <c r="N26" s="92">
        <f>(1-food_insecure)*(0.3)</f>
        <v>0.27629999999999999</v>
      </c>
      <c r="O26" s="92">
        <f>(1-food_insecure)*(0.3)</f>
        <v>0.27629999999999999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0.77493057250976605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0.1173</v>
      </c>
      <c r="D33" s="92">
        <f t="shared" si="3"/>
        <v>0.1173</v>
      </c>
      <c r="E33" s="92">
        <f t="shared" si="3"/>
        <v>0.1173</v>
      </c>
      <c r="F33" s="92">
        <f t="shared" si="3"/>
        <v>0.1173</v>
      </c>
      <c r="G33" s="92">
        <f t="shared" si="3"/>
        <v>0.1173</v>
      </c>
      <c r="H33" s="92">
        <f t="shared" si="3"/>
        <v>0.1173</v>
      </c>
      <c r="I33" s="92">
        <f t="shared" si="3"/>
        <v>0.1173</v>
      </c>
      <c r="J33" s="92">
        <f t="shared" si="3"/>
        <v>0.1173</v>
      </c>
      <c r="K33" s="92">
        <f t="shared" si="3"/>
        <v>0.1173</v>
      </c>
      <c r="L33" s="92">
        <f t="shared" si="3"/>
        <v>0.1173</v>
      </c>
      <c r="M33" s="92">
        <f t="shared" si="3"/>
        <v>0.1173</v>
      </c>
      <c r="N33" s="92">
        <f t="shared" si="3"/>
        <v>0.1173</v>
      </c>
      <c r="O33" s="92">
        <f t="shared" si="3"/>
        <v>0.1173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2020-03-24T06:50:45Z</dcterms:modified>
</cp:coreProperties>
</file>