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EFFC96E-470E-42A4-9844-22DFCB04389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16" i="2"/>
  <c r="I31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149DBD65-4894-4AC0-B184-AB2C42331B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74B283C-9718-4FD4-BFBF-7EC7039C837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DB8BB7C0-B42C-4BD1-A4F4-B6C7FF507B8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9D0C1F0-97A5-4FED-A141-CDC8785339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9A2C67B-C74E-465A-9760-CB653F92936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6CC37B6-0640-4F44-84A6-101F0356E07F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AD0463F8-F5B9-4E74-AD92-EA86AC106A0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5F2FB9D-E476-4E7B-B93A-2035EF68E1F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071B4B9-509B-4FD2-B153-17D6A3ECEA9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C6FAED6F-CD28-4BEE-84B3-720C83A477F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4DE276B-DB87-45A7-946A-F44E4DAA189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5F4AC07-1AB2-42ED-AD20-48A94D4EEE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A0830E5-F5BA-4933-8620-4D2043564E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B2397B1-B87B-4E97-A5FA-6E962A00B6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569EC267-9D47-4313-BBC7-B17AC09A42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7E46902-8432-485E-9FF4-B08EFDB8CA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1F43B32-72FE-43FA-9009-75D1AF92BB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79ED42B-7436-4C36-9E77-6214B75A6A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7004A53-35CB-4552-A1F1-380F586500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7976444D-366A-4353-A3F4-DC4E2080987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E9A108F-06B5-4169-866E-DC600EE4D15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2BFC59CE-96D8-430A-817D-78A4AB9E215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AE8C091-8794-49C6-85F2-89451BB4EEC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F2FCA762-3F42-42E8-8F53-6747BA2925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E7A1A5C-5B30-4BDC-887F-38A6F4F67E9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E635831-1465-4045-A9C6-DAA2E6E2CF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D73C796-726A-41CA-B7D1-85CBADBEC6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1DE0F0E8-FC4C-4280-8D0F-755FB45096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7E0F3AB-2191-4E56-9600-62EE485269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E8CC3CD-0E25-4146-B466-DAD095680F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0374404F-B0AE-4D9C-9C7C-7724675859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2F771D3-4409-48A6-BE54-5D87AC5EA9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76416FA-5177-4AC4-9D2D-C88EA619A5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44BA8219-394C-48D3-BFA9-A83C208697A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621E7C88-DE47-41D2-B9D0-567721209F6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E0CCA14-860A-4F66-9C35-F311607E5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AE24FC1-000D-43C5-AF40-B2A6787F38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F3445EC-86DE-4A44-8F2C-30B6896971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551AE70-4046-419F-BA2E-F864B7C640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236E7B1-F780-41F8-87E7-3503625B13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42AB4D45-9EA2-4BF0-AB38-A0FA12EC49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5B423EA-E852-4CDA-8811-FBD59EC93F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7FF5F60-FBBC-4B40-8433-413C3B7C8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F11376D9-C796-422C-A1F4-7548D81AF2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86C71589-93D8-4E35-9015-F4CB74ED95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306C28B-E18B-4B31-96EC-8FF075FEF1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8A5363F0-930F-4B78-AADF-074F638FA3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1F54A2DD-7A24-4659-B1F6-C95BA1756C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06726749-0896-4A6D-80E4-2CB6584B78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D0CB674-B1E8-4D8D-B1F8-3AEF07B1FE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5E5D0E6-118E-41AE-8AAC-D9D9E869D9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FE7DE91-C545-48B7-91D7-08DE821A16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D570A35-24FC-4135-ADED-97275F4EC6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08F34227-1191-489B-87E3-A2256E4FDF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7C3C6EC-4865-42C6-BEE7-882B9D3D99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CE5D812-DEF3-4464-A33C-4E762C4216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30E61A7-D01C-454A-9B1A-98E6907121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07293722-46F7-4D30-9B01-9BACA18A5A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6F7FA23-A7D0-4536-B506-6E8ED72580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897CB4A-157E-4F90-93FC-3D8B9AB18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12FCDC2-ACC3-491A-8552-91F2DCF4CE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6810BD0-731B-436A-99D0-5806CF8DD8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C661CEF-2AB9-418F-B8EE-2F10DBB6D5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A53403E-3C84-469C-BAAB-ADD31EBD66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12021FB-D4F5-44A1-96DE-047DB00E4B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6C43B22-7040-4FA7-A210-061F33370F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C1D833A-8FDD-4342-B4F4-A898040540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3E594D0-72F5-463B-9C8D-5726FA2E42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424AA70-B6E9-4F65-AC94-A0B81EE1B4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EE5E3C1-BF53-4473-9695-45CEC69F8F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8F9F4B1-AE23-4343-99D3-CDEF6ABB30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C44DED8-007E-4CA9-BD62-D14D1BCC6F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13AAFE6-07FC-4184-9C57-BAED959803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A3F4531-99BC-468B-9097-9A96C9736C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9BDE1FE-AF2D-4EDA-A8B4-BF0864A071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92C6668-82BC-410A-8CAF-9393857691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46E2640-7B04-44B9-850C-A0AFA4DB20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927AE9A-D668-4A32-82FD-C288F46E53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4958702-F698-4024-B313-70933C93A3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F08B73E7-B82E-499C-B2C0-2833088A83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3546437-6A03-427A-A522-058AACA745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C1F073A-F292-4576-9B53-5E0B320F76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63C7E775-461A-44DE-9D51-64B0AF4165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2031D58-57BB-4775-B7C7-6ECB8C6A01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6D118CBA-556D-436B-ABFB-E96B10A8A6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AC57420-BAC2-4649-A958-7C6FEB568C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AF5F5E2-8BDE-4593-8A27-C62D94398D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9FDE8DA1-1150-4875-86AD-F9C9D8B54C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4D6EF56-E278-4FAB-B54A-DD30BD8752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0C781C3-F85F-4F75-9722-358359CD6F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69ADEC9-521B-492B-ABA2-5389C228A1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FAC6BF8-10B0-492D-AD53-F2DD4EE8F0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1C46439-1DC6-47A8-ADB2-E201574FA2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D72863B-626B-4665-92B1-E99F7F66F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0335FBA-28AE-44F1-9A17-CA7CC5ABF9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6C32EC58-FEA2-43F8-A0D0-83427F4419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16A850C-30EF-4F4E-8152-DA947E23FF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DF180BD-E343-44A8-8EDC-5B40064ED1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A7E6CBB-F357-42D1-91CA-2F96C6306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1DB32F76-3D56-4F79-9B8B-6A80214433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40785FA-6B22-43F2-8E22-73E01F8D12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C9F8D1A-B003-47B6-BF84-A8635F6B77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BC7DDC1-3378-4E11-8D88-1018453C67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525875DE-F377-489B-B638-3AC0791413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5E8FE52-061D-4D66-A2D5-B269879EF1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B04D9E68-3AB6-440A-8A1E-B36AB4449E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13793CE-5577-4CF0-9C73-C5D8607555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BC24313-4EC9-401B-B00D-64D22466B5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401EA8B-F65B-4A9D-9D9D-A7796FC635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12771DC-DBFB-4CF5-A9BE-C2E551F751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06D5EBA-BC98-4695-9434-5EE9D9DCA6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48C440A3-4193-4C13-AA4E-A8616FCFBC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BF26D19-70EA-431A-BE0F-CB0AD1EF63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8AA1B13-BA90-4313-8A3C-BD4464AAB5B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34F0162-311D-4FF0-A214-59BB98D9FD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5BBE572-2AE0-4990-81F0-A282122603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4A9DCAC9-0CD9-4AA0-8FDC-36C74534A8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C64E05AD-EC90-4123-98B4-F8A16E9AF1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D5A35CC-5A8A-41A3-A8E3-750BFAA2B6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7100BD0-D9B3-4382-828C-6F3AE6B7E1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A0E9DCF-5A8A-4C8C-BB9C-A241FBB2EC6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DBE1B21-4AE6-4BDF-9A02-7C9003D766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9A921CE-6F2C-4E14-A3AC-33F3C8DBAC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5E0BE32-D587-4C5D-A62C-5D10E0F9AFA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FF3E8C3E-D4D3-43FF-9F30-E9408E113C7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652E2A9-0806-4AA4-9103-1D810DA937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10925751-B923-42D8-BA4B-0AD956BADA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42B0E3AA-D4FC-4BBA-9BB5-D7DDD6565B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84841F7-5D2D-457D-99C3-A964884527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2437FE3-7AE5-42B2-A483-0A3F9EB14F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233BF25-D4B2-4808-BE7F-5278EE7E16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7C0D54B-203A-4B94-96AA-40A22ECFC7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FBA4DDF8-2F03-4537-8617-C9B4ED7337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DF8CF16-FBE0-4CDD-824A-3D60780B33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3A12F0D-4F4E-4691-B556-0C96D20833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A9EAB8E-9A9F-4D37-B58E-ADBECEE94CD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C1109D5-9EFC-450C-9B75-588C0450A1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E061FE6-75BF-4FA6-85BF-D6CA2FDA8A1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EA13797-3903-46BC-9AF0-152B861504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EA00B32B-D410-45C0-A99E-C3C004E103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7DD3C22E-EC45-4849-94B8-E7195F41D2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1822D95-C3F6-4337-B2DB-C2E9C392D4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798429D-5681-4DF6-BA40-E157AA466C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3EA277A-9BA8-4B3A-9F24-3517320F99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7F4103E-E36A-4989-8AB6-0A634B1419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1ABD7F5-E0D8-4915-B506-BACEF80E6F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BCF5CBD-D9E6-490A-B4A6-69C304DD7DF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166A78B-B895-46EE-B35D-70B4EFEAB6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C5E0402-44C2-41E9-A8FF-B95505DEBC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2BCAD77-3FB5-4F8A-9AAF-4A64037893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F297F050-86A4-4579-8958-2820D90394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CA137864-6A8A-4C7B-A989-E58EB2CDC0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9BBA535-5618-4527-B260-16C362BAE7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D02C232-C225-4C9D-A3DE-81E82E114A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C45F38C-18B1-49F7-A387-43108B033F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B32D4E9-CD5C-4641-9B5F-8275854EA9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DB757B6-73E3-4F88-A5E2-64F2D18A11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436B638-1542-473C-9F8E-06149383EAD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C45089C-2049-414C-8CF7-12A9DD8906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77DB7FC2-E744-43CB-80AF-E343BF2546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C5EBA60-FE3F-4986-9DED-E064765BB3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BAD4E68-B89E-4E6C-AEB1-B96C810692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B2C00A5-6E73-4ECE-A304-F7A8A15956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8443AEC-9CA7-4916-B7D0-AB9E9786E7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6212D92-376B-4E3D-91AB-5285F9781B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42D449A-A866-48E1-A119-7A0259D874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EE94E4E-F7D5-4755-99D6-C41475F88F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1EFBE24-0070-4230-9683-B608D8A14E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02AEF2E2-C96A-4765-8C7E-EA7B8E6CEE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73489ED-1FA8-497B-AD93-40FD3B7EBC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90CB3ED-9509-4BAF-AB4E-2591A350DD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4EDAFF7-F28C-4B1C-8309-C542061FA6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D2AEB41-2114-46E9-9450-5795110E4F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7E3E9AD-E324-4AD1-ACD9-3DBE1C919F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72A77BCE-64DF-4ECF-A465-AB62276BBF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2B9B8E9-4E8B-406F-85EB-7252FBBC15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EECC5CE-7DDA-4180-97B9-2B7767578A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C73D94D-055E-44A9-953C-9C5050B844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B1D59DA-AF2F-41F5-B040-E60CA9C2BD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910D3E4E-A8B3-4A34-B3C3-908CCAE050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E08876CC-F3E7-4F6F-814F-50F221928F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B3F9771-55B4-4ECB-94CE-E3497C5B87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EBD6FBA2-73BA-4460-A664-2919813F4C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34B9CB55-967A-4724-8D47-DA0B1ECEE0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81C113F-86B6-4F1C-87AD-DF09EBB7AB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57DB781-A69D-466E-A0CD-3AC7964678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AC14A53-773F-4054-AB32-EA128D02D4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6FB7BDA-A5DC-4B08-8636-AE1D97CD8B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2050FE8F-AE42-4849-B91B-CAFA6F95FE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6B9676DD-0FC3-4BF3-821A-774831E4BC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DE3803BD-2DB5-4AA6-9557-BFBC774899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2585325-D5AF-4360-BB92-7B033A4EFF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312F2F1-B4CE-4422-9F44-D424328AC4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148192D-D239-489A-A453-36ECD21013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7CD3D49-F962-4348-9430-F789D27762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6473E3B-7D1C-4D81-8222-7289FCAD97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BE3FB93-3BED-4B82-9220-1EA915E752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1592194-26DC-4DAE-BAEA-6E6FA6CDCE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F10DE1A-7A58-4CB2-A641-53DFE3785A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E99B3BCB-8349-42F8-B85E-0DC32698F9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FA4036E-6535-4D8D-A702-4780A03121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4595AFB-3903-44E4-B152-16700494638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916E815-68A8-4525-A5BE-093B18CE42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03F0C31-F6F7-417D-83E8-E9A7EE36597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355042B-3E13-4521-893E-2CAFCF46BD1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F7DC05C-A007-4944-9259-26F1B2331F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C3B82B45-28BC-4286-8AE2-8297D06F23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1C8AEE5-797F-4D4D-BD7F-1AD7160BAA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3B38014-AEEE-4BB7-BBDC-07F40BDB1C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D32EE8B-B6CB-4AC4-AFA7-227559881C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1D79DFB-41BE-46EF-AA04-5401C25EC8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98CF523-6615-4F6B-AD34-E353A1C12C7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F69ED30-113E-408A-8264-E1F7452FACC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915A843-B79A-4F75-87D3-F593F60A8A8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137D698-4192-4FF7-BCA4-D3F0A3B1021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82E032D-F64B-4554-A8EA-E8541AAF1DB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DC978C5F-97A2-4C92-83E1-B56F3F6766F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34731F9-1BCD-4F00-9A5F-AF5414E9553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32BB536-1690-47D7-B9E8-317E50F148E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9032AB9-8925-405B-99D7-76D6AF93D0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91D3A34-68B1-40F0-87CC-9CE70D3BE0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4DC4B22-9974-44F5-B6DD-6332185D63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0769DFC-0000-4856-8730-F1DD192743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2368E92-68E6-4465-8291-A50253E699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C1E3C3A-E330-4884-A767-EC2F17CEF5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0D7E3FF-A342-4812-BF7F-BE82C9EC5D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5D5635F-C376-4136-9A55-C6945D6D6E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4363A715-BCEB-4C05-9BB2-51B1CECDE6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CE98D189-A6D6-4A90-A247-C81E482282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C0E4DA1-4248-4607-AA59-AAFF4424E0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E2DE759-E47F-4E87-BA8E-0E9E491A0A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9A113FBA-7F40-41BE-9A35-FDBF6C08C2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D9EDBA1-4973-48F7-8453-BC99A00C84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C9C543A-8A41-4CEC-8242-E352090E98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6E66467-7BDF-4D64-9B90-536C269F1C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28D32B3-C060-4B9C-BD61-F108ED113F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89D3A47-62CD-4FF6-B352-FB4F891394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375B6F45-A728-4717-B6E8-71329B4E44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349826B-49AD-4CC8-88E5-0DA5157052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9884E67F-963D-42E1-891F-E1E17D1EBC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8B8448D1-DEA4-40E7-A120-3B83ACAC42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40FF9DB-E1E9-45F1-AFE0-8E79477AEB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1D482B2-0E66-4DD4-8C28-46349F1C63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0BF7291-6801-425A-BDB8-E16C6D2645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A85ABCE-B427-4D8E-9940-01E44F6B40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97B8C4B5-BBD6-43E6-B1F0-3F4C777CA5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06350FC-7DB6-489A-8D58-5D7E2D8BFC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E961CC2A-1189-46D1-995A-2ED59693FF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10FA5F7-0DEB-45C8-81AF-472B074540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2CE5A2E-EB64-4069-B1C3-98BFDE8737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80E39E1-C24D-4A0B-8FDF-96BE49DE94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45D5728-ADE4-4667-B478-86340DEE97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EF940BA-21BF-4D86-8CDF-B5397EFE59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E397974-6C5C-48DC-B395-9BE5EEF080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704833F-B88B-48C6-B0CF-39AD36181B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492E845D-439F-47A8-8CE2-6E9DCC9956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D07A87F9-3C84-46B7-B0BA-593A5AAF24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D5EFF95-2020-47FD-AD05-4A16EBC55B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9AE96B6-CD82-421D-A665-155545ABA1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82382928-A5A2-4B8A-B115-9EA7AB83C3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4803AC3-4654-44D6-82FD-F474B11BFD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535489B-4AE2-4224-A5D8-07E7E6D6670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CDB23BB-B2F4-4040-9ABA-E28F3BA915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5329767-07C9-4AE8-AA59-E343E7D90DA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3644011-B306-4A3C-A366-206945452B9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3894C27-477C-4D63-9A41-C06EAAB4676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5C4E7C8-D571-473F-82DC-00810CF505E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0943F24-D4D5-4896-AAC3-21A795573CA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D93F32BA-E205-4E8A-BBC1-828C614BB03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88C0032-64FE-4C06-9E00-0445B1CD7BD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273AD7BA-29E5-4016-A7FE-6852BBA4033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619D8EB-09E9-4432-8CF6-10B5DE0D9E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26F9A0A-FDAA-4C4B-90F3-EB7D76804CC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DAE27A1-9C84-465E-B3CA-844C0C9F5EA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C12E6A4-8E84-4436-BB89-654E4C98CE6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30A83D3-1BC0-45B8-888D-397DA5281AE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14FF636-B4CC-406D-9447-4374C3BFE7E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52B7AEA-8535-4DA8-AEFB-B0580AAF030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EB662F8-5550-422F-852C-3CA1658DB95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D854383-843C-40F9-B668-5B87E9DE41E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FBECFC15-3299-46D4-9F49-4E6074B11AF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AE6A239-E48F-484E-AF34-CC22A77725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78480AA-EE1D-4EA7-B8C9-3BA329E34AE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EBB780D-D106-4C96-AFC9-1D5E05AEB9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CFD2E65-AF58-49BC-B63B-AC9545A1080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3FD4DD1-191E-4FD3-B95D-BA904636A7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5344C08-FEC0-4B27-8EAD-F42C9B28C9B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E5055B1C-46F4-4AF4-A535-B991F049851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A261111-7887-4B41-96A8-D3A1DB14BCB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91F9B66-54BF-46B2-B047-62A1FD47CC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F056628-4DDE-4288-9457-971C46DEBF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0FDB02F-5047-4AA3-94F0-6C43E05C63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8367A56-A229-4905-8B8D-2149E8D1DA1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E0F27DE-9FA6-4749-9082-62AB68E90CD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8938B4D-7D27-41AC-B5AA-D9A5B9981E9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1FA045F-0FE7-484E-A9CB-D6948258612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5CC39349-BC3E-43F3-AA2A-ECC23E9E1F9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FED67E3-B4A3-4EB4-9A82-1D24839A533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90AACEA9-90CE-4DA5-9A3B-FA169E4D57D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C325445-5963-49F0-BC1F-7BC280F525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8DED9C9-427D-433B-A565-5D53F657A8C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647C8523-707C-4FF3-AA9C-08E8229B398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F713BD2-8A98-4A8A-9E8D-AB1A07E3FA8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CA7D73F-E7C4-46C7-91D8-8CA9D88F5BAF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BC88266-F094-41FE-A58D-475891DD06D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9487429F-32EC-4ADB-9255-1AA6261CBC3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6DF1962-FA20-4312-B3CB-6B30F6E5C16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4291B85F-929D-4F60-9707-6E9B224D9BA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7F3A14B-F942-4B50-86F0-7F9A3D75389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A321504A-4E65-430C-9811-843F3FA17D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D0D6803-5CE7-429C-BD13-CDF4C6C4E34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1B7ED8C-57FC-4EE8-AF8C-41CA518D401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1A074D4-6454-4C7A-8D0B-703BD5BBE1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7DA0E6E6-3270-4D09-BFE3-416209B4B9E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3C498DE5-9F93-4158-8814-46014E8E132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6A7FDD5-C11E-4A57-9044-0B101B9F3E1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8519A1C-310C-45B3-9959-61D3DA83EBC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0B809F5-24E5-4E7D-AC28-5C260C17EB5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833A2F7-CB8B-4F3A-B98F-00CAEDAA6FA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3FDED17-10DB-4C53-AD15-B545479B83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E362BE9-07D4-4E12-94D7-29EF3024C8B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E9B389A-9F74-4F86-8574-4734D45930C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10E74640-D29B-4E7F-A75B-37C9C8F961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<sst xmlns="http://schemas.openxmlformats.org/spreadsheetml/2006/main" count="1102" uniqueCount="271">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</sst>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208053</v>
      </c>
    </row>
    <row r="8" spans="1:3" ht="15" customHeight="1" x14ac:dyDescent="0.25">
      <c r="B8" s="7" t="s">
        <v>106</v>
      </c>
      <c r="C8" s="70">
        <v>0.41799999999999998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0.63727569580078092</v>
      </c>
    </row>
    <row r="11" spans="1:3" ht="15" customHeight="1" x14ac:dyDescent="0.25">
      <c r="B11" s="7" t="s">
        <v>108</v>
      </c>
      <c r="C11" s="70">
        <v>0.76700000000000002</v>
      </c>
    </row>
    <row r="12" spans="1:3" ht="15" customHeight="1" x14ac:dyDescent="0.25">
      <c r="B12" s="7" t="s">
        <v>109</v>
      </c>
      <c r="C12" s="70">
        <v>0.70900000000000007</v>
      </c>
    </row>
    <row r="13" spans="1:3" ht="15" customHeight="1" x14ac:dyDescent="0.25">
      <c r="B13" s="7" t="s">
        <v>110</v>
      </c>
      <c r="C13" s="70">
        <v>0.53900000000000003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0.05</v>
      </c>
    </row>
    <row r="24" spans="1:3" ht="15" customHeight="1" x14ac:dyDescent="0.25">
      <c r="B24" s="20" t="s">
        <v>102</v>
      </c>
      <c r="C24" s="71">
        <v>0.46779999999999999</v>
      </c>
    </row>
    <row r="25" spans="1:3" ht="15" customHeight="1" x14ac:dyDescent="0.25">
      <c r="B25" s="20" t="s">
        <v>103</v>
      </c>
      <c r="C25" s="71">
        <v>0.38689999999999997</v>
      </c>
    </row>
    <row r="26" spans="1:3" ht="15" customHeight="1" x14ac:dyDescent="0.25">
      <c r="B26" s="20" t="s">
        <v>104</v>
      </c>
      <c r="C26" s="71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20.7</v>
      </c>
    </row>
    <row r="38" spans="1:5" ht="15" customHeight="1" x14ac:dyDescent="0.25">
      <c r="B38" s="16" t="s">
        <v>91</v>
      </c>
      <c r="C38" s="75">
        <v>40.799999999999997</v>
      </c>
      <c r="D38" s="17"/>
      <c r="E38" s="18"/>
    </row>
    <row r="39" spans="1:5" ht="15" customHeight="1" x14ac:dyDescent="0.25">
      <c r="B39" s="16" t="s">
        <v>90</v>
      </c>
      <c r="C39" s="75">
        <v>47.6</v>
      </c>
      <c r="D39" s="17"/>
      <c r="E39" s="17"/>
    </row>
    <row r="40" spans="1:5" ht="15" customHeight="1" x14ac:dyDescent="0.25">
      <c r="B40" s="16" t="s">
        <v>171</v>
      </c>
      <c r="C40" s="75">
        <v>3.68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2.7000000000000003E-2</v>
      </c>
      <c r="D45" s="17"/>
    </row>
    <row r="46" spans="1:5" ht="15.75" customHeight="1" x14ac:dyDescent="0.25">
      <c r="B46" s="16" t="s">
        <v>11</v>
      </c>
      <c r="C46" s="71">
        <v>9.35E-2</v>
      </c>
      <c r="D46" s="17"/>
    </row>
    <row r="47" spans="1:5" ht="15.75" customHeight="1" x14ac:dyDescent="0.25">
      <c r="B47" s="16" t="s">
        <v>12</v>
      </c>
      <c r="C47" s="71">
        <v>0.23620000000000002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2.6463538219675002</v>
      </c>
      <c r="D51" s="17"/>
    </row>
    <row r="52" spans="1:4" ht="15" customHeight="1" x14ac:dyDescent="0.25">
      <c r="B52" s="16" t="s">
        <v>125</v>
      </c>
      <c r="C52" s="76">
        <v>2.5573027489900002</v>
      </c>
    </row>
    <row r="53" spans="1:4" ht="15.75" customHeight="1" x14ac:dyDescent="0.25">
      <c r="B53" s="16" t="s">
        <v>126</v>
      </c>
      <c r="C53" s="76">
        <v>2.5573027489900002</v>
      </c>
    </row>
    <row r="54" spans="1:4" ht="15.75" customHeight="1" x14ac:dyDescent="0.25">
      <c r="B54" s="16" t="s">
        <v>127</v>
      </c>
      <c r="C54" s="76">
        <v>1.8550822462399998</v>
      </c>
    </row>
    <row r="55" spans="1:4" ht="15.75" customHeight="1" x14ac:dyDescent="0.25">
      <c r="B55" s="16" t="s">
        <v>128</v>
      </c>
      <c r="C55" s="76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0.57312156328470099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40.561070613111141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42.580683844805243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140.5387212287504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0.54921846093538751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1.1578852868158065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1.1578852868158065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1.1578852868158065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1.1578852868158065</v>
      </c>
      <c r="E13" s="86" t="s">
        <v>202</v>
      </c>
    </row>
    <row r="14" spans="1:5" ht="15.75" customHeight="1" x14ac:dyDescent="0.25">
      <c r="A14" s="11" t="s">
        <v>187</v>
      </c>
      <c r="B14" s="85">
        <v>0.129</v>
      </c>
      <c r="C14" s="85">
        <v>0.95</v>
      </c>
      <c r="D14" s="86">
        <v>13.598395744825833</v>
      </c>
      <c r="E14" s="86" t="s">
        <v>202</v>
      </c>
    </row>
    <row r="15" spans="1:5" ht="15.75" customHeight="1" x14ac:dyDescent="0.25">
      <c r="A15" s="11" t="s">
        <v>209</v>
      </c>
      <c r="B15" s="85">
        <v>0.129</v>
      </c>
      <c r="C15" s="85">
        <v>0.95</v>
      </c>
      <c r="D15" s="86">
        <v>13.598395744825833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0.33763848267590918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0.33600000000000002</v>
      </c>
      <c r="C18" s="85">
        <v>0.95</v>
      </c>
      <c r="D18" s="87">
        <v>3.3223485837494824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3.3223485837494824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3.3223485837494824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5.0226201787989284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23.23689431241996</v>
      </c>
      <c r="E22" s="86" t="s">
        <v>202</v>
      </c>
    </row>
    <row r="23" spans="1:5" ht="15.75" customHeight="1" x14ac:dyDescent="0.25">
      <c r="A23" s="52" t="s">
        <v>34</v>
      </c>
      <c r="B23" s="85">
        <v>0.64</v>
      </c>
      <c r="C23" s="85">
        <v>0.95</v>
      </c>
      <c r="D23" s="86">
        <v>4.4977193243106921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19.667951390170742</v>
      </c>
      <c r="E24" s="86" t="s">
        <v>202</v>
      </c>
    </row>
    <row r="25" spans="1:5" ht="15.75" customHeight="1" x14ac:dyDescent="0.25">
      <c r="A25" s="52" t="s">
        <v>87</v>
      </c>
      <c r="B25" s="85">
        <v>0.158</v>
      </c>
      <c r="C25" s="85">
        <v>0.95</v>
      </c>
      <c r="D25" s="86">
        <v>19.621484157947364</v>
      </c>
      <c r="E25" s="86" t="s">
        <v>202</v>
      </c>
    </row>
    <row r="26" spans="1:5" ht="15.75" customHeight="1" x14ac:dyDescent="0.25">
      <c r="A26" s="52" t="s">
        <v>137</v>
      </c>
      <c r="B26" s="85">
        <v>0.129</v>
      </c>
      <c r="C26" s="85">
        <v>0.95</v>
      </c>
      <c r="D26" s="86">
        <v>4.6444830784709081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4.6539290353555263</v>
      </c>
      <c r="E27" s="86" t="s">
        <v>202</v>
      </c>
    </row>
    <row r="28" spans="1:5" ht="15.75" customHeight="1" x14ac:dyDescent="0.25">
      <c r="A28" s="52" t="s">
        <v>84</v>
      </c>
      <c r="B28" s="85">
        <v>0.69900000000000007</v>
      </c>
      <c r="C28" s="85">
        <v>0.95</v>
      </c>
      <c r="D28" s="86">
        <v>1.3428090545946034</v>
      </c>
      <c r="E28" s="86" t="s">
        <v>202</v>
      </c>
    </row>
    <row r="29" spans="1:5" ht="15.75" customHeight="1" x14ac:dyDescent="0.25">
      <c r="A29" s="52" t="s">
        <v>58</v>
      </c>
      <c r="B29" s="85">
        <v>0.33600000000000002</v>
      </c>
      <c r="C29" s="85">
        <v>0.95</v>
      </c>
      <c r="D29" s="86">
        <v>73.779165565353139</v>
      </c>
      <c r="E29" s="86" t="s">
        <v>202</v>
      </c>
    </row>
    <row r="30" spans="1:5" ht="15.75" customHeight="1" x14ac:dyDescent="0.25">
      <c r="A30" s="52" t="s">
        <v>67</v>
      </c>
      <c r="B30" s="85">
        <v>5.5999999999999994E-2</v>
      </c>
      <c r="C30" s="85">
        <v>0.95</v>
      </c>
      <c r="D30" s="86">
        <v>2.1818074410904882</v>
      </c>
      <c r="E30" s="86" t="s">
        <v>202</v>
      </c>
    </row>
    <row r="31" spans="1:5" ht="15.75" customHeight="1" x14ac:dyDescent="0.25">
      <c r="A31" s="52" t="s">
        <v>28</v>
      </c>
      <c r="B31" s="85">
        <v>0.46350000000000008</v>
      </c>
      <c r="C31" s="85">
        <v>0.95</v>
      </c>
      <c r="D31" s="86">
        <v>0.6799284291458918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0.255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0.40600000000000003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0.71900000000000008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0.249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0.502</v>
      </c>
      <c r="C37" s="85">
        <v>0.95</v>
      </c>
      <c r="D37" s="86">
        <v>3.7635013828042281</v>
      </c>
      <c r="E37" s="86" t="s">
        <v>202</v>
      </c>
    </row>
    <row r="38" spans="1:6" ht="15.75" customHeight="1" x14ac:dyDescent="0.25">
      <c r="A38" s="52" t="s">
        <v>60</v>
      </c>
      <c r="B38" s="85">
        <v>0.502</v>
      </c>
      <c r="C38" s="85">
        <v>0.95</v>
      </c>
      <c r="D38" s="86">
        <v>0.70270961833219969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0.19287516560000001</v>
      </c>
      <c r="C3" s="26">
        <f>frac_mam_1_5months * 2.6</f>
        <v>0.19287516560000001</v>
      </c>
      <c r="D3" s="26">
        <f>frac_mam_6_11months * 2.6</f>
        <v>0.2700693736</v>
      </c>
      <c r="E3" s="26">
        <f>frac_mam_12_23months * 2.6</f>
        <v>0.322595884</v>
      </c>
      <c r="F3" s="26">
        <f>frac_mam_24_59months * 2.6</f>
        <v>0.14922023393333331</v>
      </c>
    </row>
    <row r="4" spans="1:6" ht="15.75" customHeight="1" x14ac:dyDescent="0.25">
      <c r="A4" s="3" t="s">
        <v>66</v>
      </c>
      <c r="B4" s="26">
        <f>frac_sam_1month * 2.6</f>
        <v>3.3998003000000006E-2</v>
      </c>
      <c r="C4" s="26">
        <f>frac_sam_1_5months * 2.6</f>
        <v>3.3998003000000006E-2</v>
      </c>
      <c r="D4" s="26">
        <f>frac_sam_6_11months * 2.6</f>
        <v>0.1343429984</v>
      </c>
      <c r="E4" s="26">
        <f>frac_sam_12_23months * 2.6</f>
        <v>7.8538303999999989E-2</v>
      </c>
      <c r="F4" s="26">
        <f>frac_sam_24_59months * 2.6</f>
        <v>3.3268349400000001E-2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44906.805661999999</v>
      </c>
      <c r="C2" s="78">
        <v>76679</v>
      </c>
      <c r="D2" s="78">
        <v>102750</v>
      </c>
      <c r="E2" s="78">
        <v>502476</v>
      </c>
      <c r="F2" s="78">
        <v>339083</v>
      </c>
      <c r="G2" s="22">
        <f t="shared" ref="G2:G40" si="0">C2+D2+E2+F2</f>
        <v>1020988</v>
      </c>
      <c r="H2" s="22">
        <f t="shared" ref="H2:H40" si="1">(B2 + stillbirth*B2/(1000-stillbirth))/(1-abortion)</f>
        <v>52552.451641517873</v>
      </c>
      <c r="I2" s="22">
        <f>G2-H2</f>
        <v>968435.54835848208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45440.121333333336</v>
      </c>
      <c r="C3" s="78">
        <v>76000</v>
      </c>
      <c r="D3" s="78">
        <v>108000</v>
      </c>
      <c r="E3" s="78">
        <v>516000</v>
      </c>
      <c r="F3" s="78">
        <v>353000</v>
      </c>
      <c r="G3" s="22">
        <f t="shared" si="0"/>
        <v>1053000</v>
      </c>
      <c r="H3" s="22">
        <f t="shared" si="1"/>
        <v>53176.567421169617</v>
      </c>
      <c r="I3" s="22">
        <f t="shared" ref="I3:I15" si="3">G3-H3</f>
        <v>999823.4325788304</v>
      </c>
    </row>
    <row r="4" spans="1:9" ht="15.75" customHeight="1" x14ac:dyDescent="0.25">
      <c r="A4" s="7">
        <f t="shared" si="2"/>
        <v>2019</v>
      </c>
      <c r="B4" s="77">
        <v>45966.197333333344</v>
      </c>
      <c r="C4" s="78">
        <v>75000</v>
      </c>
      <c r="D4" s="78">
        <v>114000</v>
      </c>
      <c r="E4" s="78">
        <v>528000</v>
      </c>
      <c r="F4" s="78">
        <v>367000</v>
      </c>
      <c r="G4" s="22">
        <f t="shared" si="0"/>
        <v>1084000</v>
      </c>
      <c r="H4" s="22">
        <f t="shared" si="1"/>
        <v>53792.210933154216</v>
      </c>
      <c r="I4" s="22">
        <f t="shared" si="3"/>
        <v>1030207.7890668458</v>
      </c>
    </row>
    <row r="5" spans="1:9" ht="15.75" customHeight="1" x14ac:dyDescent="0.25">
      <c r="A5" s="7">
        <f t="shared" si="2"/>
        <v>2020</v>
      </c>
      <c r="B5" s="77">
        <v>46507.936999999998</v>
      </c>
      <c r="C5" s="78">
        <v>76000</v>
      </c>
      <c r="D5" s="78">
        <v>120000</v>
      </c>
      <c r="E5" s="78">
        <v>541000</v>
      </c>
      <c r="F5" s="78">
        <v>380000</v>
      </c>
      <c r="G5" s="22">
        <f t="shared" si="0"/>
        <v>1117000</v>
      </c>
      <c r="H5" s="22">
        <f t="shared" si="1"/>
        <v>54426.184942552143</v>
      </c>
      <c r="I5" s="22">
        <f t="shared" si="3"/>
        <v>1062573.8150574479</v>
      </c>
    </row>
    <row r="6" spans="1:9" ht="15.75" customHeight="1" x14ac:dyDescent="0.25">
      <c r="A6" s="7">
        <f t="shared" si="2"/>
        <v>2021</v>
      </c>
      <c r="B6" s="77">
        <v>47151.104800000001</v>
      </c>
      <c r="C6" s="78">
        <v>77000</v>
      </c>
      <c r="D6" s="78">
        <v>125000</v>
      </c>
      <c r="E6" s="78">
        <v>553000</v>
      </c>
      <c r="F6" s="78">
        <v>394000</v>
      </c>
      <c r="G6" s="22">
        <f t="shared" si="0"/>
        <v>1149000</v>
      </c>
      <c r="H6" s="22">
        <f t="shared" si="1"/>
        <v>55178.855817458811</v>
      </c>
      <c r="I6" s="22">
        <f t="shared" si="3"/>
        <v>1093821.1441825412</v>
      </c>
    </row>
    <row r="7" spans="1:9" ht="15.75" customHeight="1" x14ac:dyDescent="0.25">
      <c r="A7" s="7">
        <f t="shared" si="2"/>
        <v>2022</v>
      </c>
      <c r="B7" s="77">
        <v>47811.817200000005</v>
      </c>
      <c r="C7" s="78">
        <v>79000</v>
      </c>
      <c r="D7" s="78">
        <v>129000</v>
      </c>
      <c r="E7" s="78">
        <v>563000</v>
      </c>
      <c r="F7" s="78">
        <v>408000</v>
      </c>
      <c r="G7" s="22">
        <f t="shared" si="0"/>
        <v>1179000</v>
      </c>
      <c r="H7" s="22">
        <f t="shared" si="1"/>
        <v>55952.058362999327</v>
      </c>
      <c r="I7" s="22">
        <f t="shared" si="3"/>
        <v>1123047.9416370008</v>
      </c>
    </row>
    <row r="8" spans="1:9" ht="15.75" customHeight="1" x14ac:dyDescent="0.25">
      <c r="A8" s="7">
        <f t="shared" si="2"/>
        <v>2023</v>
      </c>
      <c r="B8" s="77">
        <v>48456.397200000014</v>
      </c>
      <c r="C8" s="78">
        <v>82000</v>
      </c>
      <c r="D8" s="78">
        <v>132000</v>
      </c>
      <c r="E8" s="78">
        <v>575000</v>
      </c>
      <c r="F8" s="78">
        <v>422000</v>
      </c>
      <c r="G8" s="22">
        <f t="shared" si="0"/>
        <v>1211000</v>
      </c>
      <c r="H8" s="22">
        <f t="shared" si="1"/>
        <v>56706.381873205137</v>
      </c>
      <c r="I8" s="22">
        <f t="shared" si="3"/>
        <v>1154293.6181267949</v>
      </c>
    </row>
    <row r="9" spans="1:9" ht="15.75" customHeight="1" x14ac:dyDescent="0.25">
      <c r="A9" s="7">
        <f t="shared" si="2"/>
        <v>2024</v>
      </c>
      <c r="B9" s="77">
        <v>49084.844800000013</v>
      </c>
      <c r="C9" s="78">
        <v>84000</v>
      </c>
      <c r="D9" s="78">
        <v>136000</v>
      </c>
      <c r="E9" s="78">
        <v>586000</v>
      </c>
      <c r="F9" s="78">
        <v>436000</v>
      </c>
      <c r="G9" s="22">
        <f t="shared" si="0"/>
        <v>1242000</v>
      </c>
      <c r="H9" s="22">
        <f t="shared" si="1"/>
        <v>57441.826348076233</v>
      </c>
      <c r="I9" s="22">
        <f t="shared" si="3"/>
        <v>1184558.1736519237</v>
      </c>
    </row>
    <row r="10" spans="1:9" ht="15.75" customHeight="1" x14ac:dyDescent="0.25">
      <c r="A10" s="7">
        <f t="shared" si="2"/>
        <v>2025</v>
      </c>
      <c r="B10" s="77">
        <v>49729.536</v>
      </c>
      <c r="C10" s="78">
        <v>87000</v>
      </c>
      <c r="D10" s="78">
        <v>139000</v>
      </c>
      <c r="E10" s="78">
        <v>598000</v>
      </c>
      <c r="F10" s="78">
        <v>449000</v>
      </c>
      <c r="G10" s="22">
        <f t="shared" si="0"/>
        <v>1273000</v>
      </c>
      <c r="H10" s="22">
        <f t="shared" si="1"/>
        <v>58196.279990731571</v>
      </c>
      <c r="I10" s="22">
        <f t="shared" si="3"/>
        <v>1214803.7200092685</v>
      </c>
    </row>
    <row r="11" spans="1:9" ht="15.75" customHeight="1" x14ac:dyDescent="0.25">
      <c r="A11" s="7">
        <f t="shared" si="2"/>
        <v>2026</v>
      </c>
      <c r="B11" s="77">
        <v>50264.483999999997</v>
      </c>
      <c r="C11" s="78">
        <v>89000</v>
      </c>
      <c r="D11" s="78">
        <v>141000</v>
      </c>
      <c r="E11" s="78">
        <v>609000</v>
      </c>
      <c r="F11" s="78">
        <v>462000</v>
      </c>
      <c r="G11" s="22">
        <f t="shared" si="0"/>
        <v>1301000</v>
      </c>
      <c r="H11" s="22">
        <f t="shared" si="1"/>
        <v>58822.306012540459</v>
      </c>
      <c r="I11" s="22">
        <f t="shared" si="3"/>
        <v>1242177.6939874596</v>
      </c>
    </row>
    <row r="12" spans="1:9" ht="15.75" customHeight="1" x14ac:dyDescent="0.25">
      <c r="A12" s="7">
        <f t="shared" si="2"/>
        <v>2027</v>
      </c>
      <c r="B12" s="77">
        <v>50776.991999999998</v>
      </c>
      <c r="C12" s="78">
        <v>91000</v>
      </c>
      <c r="D12" s="78">
        <v>143000</v>
      </c>
      <c r="E12" s="78">
        <v>620000</v>
      </c>
      <c r="F12" s="78">
        <v>475000</v>
      </c>
      <c r="G12" s="22">
        <f t="shared" si="0"/>
        <v>1329000</v>
      </c>
      <c r="H12" s="22">
        <f t="shared" si="1"/>
        <v>59422.071493269861</v>
      </c>
      <c r="I12" s="22">
        <f t="shared" si="3"/>
        <v>1269577.9285067301</v>
      </c>
    </row>
    <row r="13" spans="1:9" ht="15.75" customHeight="1" x14ac:dyDescent="0.25">
      <c r="A13" s="7">
        <f t="shared" si="2"/>
        <v>2028</v>
      </c>
      <c r="B13" s="77">
        <v>51298.415999999997</v>
      </c>
      <c r="C13" s="78">
        <v>92000</v>
      </c>
      <c r="D13" s="78">
        <v>145000</v>
      </c>
      <c r="E13" s="78">
        <v>633000</v>
      </c>
      <c r="F13" s="78">
        <v>488000</v>
      </c>
      <c r="G13" s="22">
        <f t="shared" si="0"/>
        <v>1358000</v>
      </c>
      <c r="H13" s="22">
        <f t="shared" si="1"/>
        <v>60032.270975080566</v>
      </c>
      <c r="I13" s="22">
        <f t="shared" si="3"/>
        <v>1297967.7290249194</v>
      </c>
    </row>
    <row r="14" spans="1:9" ht="15.75" customHeight="1" x14ac:dyDescent="0.25">
      <c r="A14" s="7">
        <f t="shared" si="2"/>
        <v>2029</v>
      </c>
      <c r="B14" s="77">
        <v>51796.72</v>
      </c>
      <c r="C14" s="78">
        <v>94000</v>
      </c>
      <c r="D14" s="78">
        <v>148000</v>
      </c>
      <c r="E14" s="78">
        <v>647000</v>
      </c>
      <c r="F14" s="78">
        <v>501000</v>
      </c>
      <c r="G14" s="22">
        <f t="shared" si="0"/>
        <v>1390000</v>
      </c>
      <c r="H14" s="22">
        <f t="shared" si="1"/>
        <v>60615.41414183969</v>
      </c>
      <c r="I14" s="22">
        <f t="shared" si="3"/>
        <v>1329384.5858581604</v>
      </c>
    </row>
    <row r="15" spans="1:9" ht="15.75" customHeight="1" x14ac:dyDescent="0.25">
      <c r="A15" s="7">
        <f t="shared" si="2"/>
        <v>2030</v>
      </c>
      <c r="B15" s="77">
        <v>52271.904000000002</v>
      </c>
      <c r="C15" s="78">
        <v>96000</v>
      </c>
      <c r="D15" s="78">
        <v>150000</v>
      </c>
      <c r="E15" s="78">
        <v>664000</v>
      </c>
      <c r="F15" s="78">
        <v>513000</v>
      </c>
      <c r="G15" s="22">
        <f t="shared" si="0"/>
        <v>1423000</v>
      </c>
      <c r="H15" s="22">
        <f t="shared" si="1"/>
        <v>61171.500993547212</v>
      </c>
      <c r="I15" s="22">
        <f t="shared" si="3"/>
        <v>1361828.4990064527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128.72814254652351</v>
      </c>
      <c r="I17" s="22">
        <f t="shared" si="4"/>
        <v>-128.72814254652351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2.2022893500000001E-2</v>
      </c>
    </row>
    <row r="4" spans="1:8" ht="15.75" customHeight="1" x14ac:dyDescent="0.25">
      <c r="B4" s="24" t="s">
        <v>7</v>
      </c>
      <c r="C4" s="79">
        <v>0.14811197956837813</v>
      </c>
    </row>
    <row r="5" spans="1:8" ht="15.75" customHeight="1" x14ac:dyDescent="0.25">
      <c r="B5" s="24" t="s">
        <v>8</v>
      </c>
      <c r="C5" s="79">
        <v>0.11639554773423692</v>
      </c>
    </row>
    <row r="6" spans="1:8" ht="15.75" customHeight="1" x14ac:dyDescent="0.25">
      <c r="B6" s="24" t="s">
        <v>10</v>
      </c>
      <c r="C6" s="79">
        <v>0.11828868577428105</v>
      </c>
    </row>
    <row r="7" spans="1:8" ht="15.75" customHeight="1" x14ac:dyDescent="0.25">
      <c r="B7" s="24" t="s">
        <v>13</v>
      </c>
      <c r="C7" s="79">
        <v>0.25447579338959925</v>
      </c>
    </row>
    <row r="8" spans="1:8" ht="15.75" customHeight="1" x14ac:dyDescent="0.25">
      <c r="B8" s="24" t="s">
        <v>14</v>
      </c>
      <c r="C8" s="79">
        <v>2.5909074779199132E-3</v>
      </c>
    </row>
    <row r="9" spans="1:8" ht="15.75" customHeight="1" x14ac:dyDescent="0.25">
      <c r="B9" s="24" t="s">
        <v>27</v>
      </c>
      <c r="C9" s="79">
        <v>0.16861596210538399</v>
      </c>
    </row>
    <row r="10" spans="1:8" ht="15.75" customHeight="1" x14ac:dyDescent="0.25">
      <c r="B10" s="24" t="s">
        <v>15</v>
      </c>
      <c r="C10" s="79">
        <v>0.16949823045020074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0.10642646490407399</v>
      </c>
      <c r="D14" s="79">
        <v>0.10642646490407399</v>
      </c>
      <c r="E14" s="79">
        <v>0.112138684092456</v>
      </c>
      <c r="F14" s="79">
        <v>0.112138684092456</v>
      </c>
    </row>
    <row r="15" spans="1:8" ht="15.75" customHeight="1" x14ac:dyDescent="0.25">
      <c r="B15" s="24" t="s">
        <v>16</v>
      </c>
      <c r="C15" s="79">
        <v>0.37850296014790502</v>
      </c>
      <c r="D15" s="79">
        <v>0.37850296014790502</v>
      </c>
      <c r="E15" s="79">
        <v>0.24570292361294199</v>
      </c>
      <c r="F15" s="79">
        <v>0.24570292361294199</v>
      </c>
    </row>
    <row r="16" spans="1:8" ht="15.75" customHeight="1" x14ac:dyDescent="0.25">
      <c r="B16" s="24" t="s">
        <v>17</v>
      </c>
      <c r="C16" s="79">
        <v>4.1169503354516704E-2</v>
      </c>
      <c r="D16" s="79">
        <v>4.1169503354516704E-2</v>
      </c>
      <c r="E16" s="79">
        <v>3.0501382414109001E-2</v>
      </c>
      <c r="F16" s="79">
        <v>3.0501382414109001E-2</v>
      </c>
    </row>
    <row r="17" spans="1:8" ht="15.75" customHeight="1" x14ac:dyDescent="0.25">
      <c r="B17" s="24" t="s">
        <v>18</v>
      </c>
      <c r="C17" s="79">
        <v>2.8735551608615201E-3</v>
      </c>
      <c r="D17" s="79">
        <v>2.8735551608615201E-3</v>
      </c>
      <c r="E17" s="79">
        <v>1.2432779555789399E-2</v>
      </c>
      <c r="F17" s="79">
        <v>1.2432779555789399E-2</v>
      </c>
    </row>
    <row r="18" spans="1:8" ht="15.75" customHeight="1" x14ac:dyDescent="0.25">
      <c r="B18" s="24" t="s">
        <v>19</v>
      </c>
      <c r="C18" s="79">
        <v>3.8558419592564004E-4</v>
      </c>
      <c r="D18" s="79">
        <v>3.8558419592564004E-4</v>
      </c>
      <c r="E18" s="79">
        <v>4.8451166335659602E-4</v>
      </c>
      <c r="F18" s="79">
        <v>4.8451166335659602E-4</v>
      </c>
    </row>
    <row r="19" spans="1:8" ht="15.75" customHeight="1" x14ac:dyDescent="0.25">
      <c r="B19" s="24" t="s">
        <v>20</v>
      </c>
      <c r="C19" s="79">
        <v>2.00985821288257E-2</v>
      </c>
      <c r="D19" s="79">
        <v>2.00985821288257E-2</v>
      </c>
      <c r="E19" s="79">
        <v>3.6779454055091497E-2</v>
      </c>
      <c r="F19" s="79">
        <v>3.6779454055091497E-2</v>
      </c>
    </row>
    <row r="20" spans="1:8" ht="15.75" customHeight="1" x14ac:dyDescent="0.25">
      <c r="B20" s="24" t="s">
        <v>21</v>
      </c>
      <c r="C20" s="79">
        <v>2.1121706912781601E-2</v>
      </c>
      <c r="D20" s="79">
        <v>2.1121706912781601E-2</v>
      </c>
      <c r="E20" s="79">
        <v>0.12939197196403801</v>
      </c>
      <c r="F20" s="79">
        <v>0.12939197196403801</v>
      </c>
    </row>
    <row r="21" spans="1:8" ht="15.75" customHeight="1" x14ac:dyDescent="0.25">
      <c r="B21" s="24" t="s">
        <v>22</v>
      </c>
      <c r="C21" s="79">
        <v>5.20081064887081E-2</v>
      </c>
      <c r="D21" s="79">
        <v>5.20081064887081E-2</v>
      </c>
      <c r="E21" s="79">
        <v>0.142364776306909</v>
      </c>
      <c r="F21" s="79">
        <v>0.142364776306909</v>
      </c>
    </row>
    <row r="22" spans="1:8" ht="15.75" customHeight="1" x14ac:dyDescent="0.25">
      <c r="B22" s="24" t="s">
        <v>23</v>
      </c>
      <c r="C22" s="79">
        <v>0.37741353670640176</v>
      </c>
      <c r="D22" s="79">
        <v>0.37741353670640176</v>
      </c>
      <c r="E22" s="79">
        <v>0.2902035163353085</v>
      </c>
      <c r="F22" s="79">
        <v>0.2902035163353085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4.8000000000000001E-2</v>
      </c>
    </row>
    <row r="27" spans="1:8" ht="15.75" customHeight="1" x14ac:dyDescent="0.25">
      <c r="B27" s="24" t="s">
        <v>39</v>
      </c>
      <c r="C27" s="79">
        <v>1.9099999999999999E-2</v>
      </c>
    </row>
    <row r="28" spans="1:8" ht="15.75" customHeight="1" x14ac:dyDescent="0.25">
      <c r="B28" s="24" t="s">
        <v>40</v>
      </c>
      <c r="C28" s="79">
        <v>0.22940000000000002</v>
      </c>
    </row>
    <row r="29" spans="1:8" ht="15.75" customHeight="1" x14ac:dyDescent="0.25">
      <c r="B29" s="24" t="s">
        <v>41</v>
      </c>
      <c r="C29" s="79">
        <v>0.1384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0.14899999999999999</v>
      </c>
    </row>
    <row r="33" spans="2:3" ht="15.75" customHeight="1" x14ac:dyDescent="0.25">
      <c r="B33" s="24" t="s">
        <v>45</v>
      </c>
      <c r="C33" s="79">
        <v>0.12240000000000001</v>
      </c>
    </row>
    <row r="34" spans="2:3" ht="15.75" customHeight="1" x14ac:dyDescent="0.25">
      <c r="B34" s="24" t="s">
        <v>46</v>
      </c>
      <c r="C34" s="79">
        <v>0.17329999999999998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0.5385534876714827</v>
      </c>
      <c r="D2" s="80">
        <v>0.5385534876714827</v>
      </c>
      <c r="E2" s="80">
        <v>0.4853367513682656</v>
      </c>
      <c r="F2" s="80">
        <v>0.26013043921209889</v>
      </c>
      <c r="G2" s="80">
        <v>0.20930141241570005</v>
      </c>
    </row>
    <row r="3" spans="1:15" ht="15.75" customHeight="1" x14ac:dyDescent="0.25">
      <c r="A3" s="5"/>
      <c r="B3" s="11" t="s">
        <v>118</v>
      </c>
      <c r="C3" s="80">
        <v>0.13823832838626293</v>
      </c>
      <c r="D3" s="80">
        <v>0.13823832838626293</v>
      </c>
      <c r="E3" s="80">
        <v>0.17054824160230639</v>
      </c>
      <c r="F3" s="80">
        <v>0.16916979543531921</v>
      </c>
      <c r="G3" s="80">
        <v>0.16876768818026516</v>
      </c>
    </row>
    <row r="4" spans="1:15" ht="15.75" customHeight="1" x14ac:dyDescent="0.25">
      <c r="A4" s="5"/>
      <c r="B4" s="11" t="s">
        <v>116</v>
      </c>
      <c r="C4" s="81">
        <v>0.11753024870627432</v>
      </c>
      <c r="D4" s="81">
        <v>0.11753024870627432</v>
      </c>
      <c r="E4" s="81">
        <v>0.13843707179344805</v>
      </c>
      <c r="F4" s="81">
        <v>0.2418410886840644</v>
      </c>
      <c r="G4" s="81">
        <v>0.29307222273551731</v>
      </c>
    </row>
    <row r="5" spans="1:15" ht="15.75" customHeight="1" x14ac:dyDescent="0.25">
      <c r="A5" s="5"/>
      <c r="B5" s="11" t="s">
        <v>119</v>
      </c>
      <c r="C5" s="81">
        <v>0.20567793523597999</v>
      </c>
      <c r="D5" s="81">
        <v>0.20567793523597999</v>
      </c>
      <c r="E5" s="81">
        <v>0.20567793523597999</v>
      </c>
      <c r="F5" s="81">
        <v>0.32885867666851748</v>
      </c>
      <c r="G5" s="81">
        <v>0.32885867666851748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0.72681234864814803</v>
      </c>
      <c r="D8" s="80">
        <v>0.72681234864814803</v>
      </c>
      <c r="E8" s="80">
        <v>0.60024900848648655</v>
      </c>
      <c r="F8" s="80">
        <v>0.60211417510869569</v>
      </c>
      <c r="G8" s="80">
        <v>0.57525339007782106</v>
      </c>
    </row>
    <row r="9" spans="1:15" ht="15.75" customHeight="1" x14ac:dyDescent="0.25">
      <c r="B9" s="7" t="s">
        <v>121</v>
      </c>
      <c r="C9" s="80">
        <v>0.18592874035185183</v>
      </c>
      <c r="D9" s="80">
        <v>0.18592874035185183</v>
      </c>
      <c r="E9" s="80">
        <v>0.24420777151351353</v>
      </c>
      <c r="F9" s="80">
        <v>0.24360344489130434</v>
      </c>
      <c r="G9" s="80">
        <v>0.35455869325551226</v>
      </c>
    </row>
    <row r="10" spans="1:15" ht="15.75" customHeight="1" x14ac:dyDescent="0.25">
      <c r="B10" s="7" t="s">
        <v>122</v>
      </c>
      <c r="C10" s="81">
        <v>7.4182756000000002E-2</v>
      </c>
      <c r="D10" s="81">
        <v>7.4182756000000002E-2</v>
      </c>
      <c r="E10" s="81">
        <v>0.103872836</v>
      </c>
      <c r="F10" s="81">
        <v>0.12407534000000001</v>
      </c>
      <c r="G10" s="81">
        <v>5.7392397666666657E-2</v>
      </c>
    </row>
    <row r="11" spans="1:15" ht="15.75" customHeight="1" x14ac:dyDescent="0.25">
      <c r="B11" s="7" t="s">
        <v>123</v>
      </c>
      <c r="C11" s="81">
        <v>1.3076155000000001E-2</v>
      </c>
      <c r="D11" s="81">
        <v>1.3076155000000001E-2</v>
      </c>
      <c r="E11" s="81">
        <v>5.1670384E-2</v>
      </c>
      <c r="F11" s="81">
        <v>3.0207039999999998E-2</v>
      </c>
      <c r="G11" s="81">
        <v>1.2795519E-2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0.83210275624999996</v>
      </c>
      <c r="D14" s="82">
        <v>0.82560761370299995</v>
      </c>
      <c r="E14" s="82">
        <v>0.82560761370299995</v>
      </c>
      <c r="F14" s="82">
        <v>0.71009336219999997</v>
      </c>
      <c r="G14" s="82">
        <v>0.71009336219999997</v>
      </c>
      <c r="H14" s="83">
        <v>0.64500000000000002</v>
      </c>
      <c r="I14" s="83">
        <v>0.33605726872246694</v>
      </c>
      <c r="J14" s="83">
        <v>0.37786343612334805</v>
      </c>
      <c r="K14" s="83">
        <v>0.35696035242290747</v>
      </c>
      <c r="L14" s="83">
        <v>0.412843350793</v>
      </c>
      <c r="M14" s="83">
        <v>0.25025674296450001</v>
      </c>
      <c r="N14" s="83">
        <v>0.26567227106899999</v>
      </c>
      <c r="O14" s="83">
        <v>0.30104375484450002</v>
      </c>
    </row>
    <row r="15" spans="1:15" ht="15.75" customHeight="1" x14ac:dyDescent="0.25">
      <c r="B15" s="16" t="s">
        <v>68</v>
      </c>
      <c r="C15" s="80">
        <f>iron_deficiency_anaemia*C14</f>
        <v>0.47689603247550849</v>
      </c>
      <c r="D15" s="80">
        <f t="shared" ref="D15:O15" si="0">iron_deficiency_anaemia*D14</f>
        <v>0.47317352622521486</v>
      </c>
      <c r="E15" s="80">
        <f t="shared" si="0"/>
        <v>0.47317352622521486</v>
      </c>
      <c r="F15" s="80">
        <f t="shared" si="0"/>
        <v>0.40696981782215336</v>
      </c>
      <c r="G15" s="80">
        <f t="shared" si="0"/>
        <v>0.40696981782215336</v>
      </c>
      <c r="H15" s="80">
        <f t="shared" si="0"/>
        <v>0.36966340831863215</v>
      </c>
      <c r="I15" s="80">
        <f t="shared" si="0"/>
        <v>0.1926016672034071</v>
      </c>
      <c r="J15" s="80">
        <f t="shared" si="0"/>
        <v>0.21656168321914199</v>
      </c>
      <c r="K15" s="80">
        <f t="shared" si="0"/>
        <v>0.20458167521127452</v>
      </c>
      <c r="L15" s="80">
        <f t="shared" si="0"/>
        <v>0.23660942659817835</v>
      </c>
      <c r="M15" s="80">
        <f t="shared" si="0"/>
        <v>0.14342753575035183</v>
      </c>
      <c r="N15" s="80">
        <f t="shared" si="0"/>
        <v>0.1522625073164621</v>
      </c>
      <c r="O15" s="80">
        <f t="shared" si="0"/>
        <v>0.17253466739357612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0.502</v>
      </c>
      <c r="D2" s="81">
        <v>0.502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0.14099999999999999</v>
      </c>
      <c r="D3" s="81">
        <v>0.14199999999999999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0.21899999999999997</v>
      </c>
      <c r="D4" s="81">
        <v>0.21899999999999997</v>
      </c>
      <c r="E4" s="81">
        <v>0.72099999999999997</v>
      </c>
      <c r="F4" s="81">
        <v>0.71250000000000002</v>
      </c>
      <c r="G4" s="81">
        <v>0</v>
      </c>
    </row>
    <row r="5" spans="1:7" x14ac:dyDescent="0.25">
      <c r="B5" s="43" t="s">
        <v>169</v>
      </c>
      <c r="C5" s="80">
        <f>1-SUM(C2:C4)</f>
        <v>0.13800000000000001</v>
      </c>
      <c r="D5" s="80">
        <f>1-SUM(D2:D4)</f>
        <v>0.13700000000000001</v>
      </c>
      <c r="E5" s="80">
        <f>1-SUM(E2:E4)</f>
        <v>0.27900000000000003</v>
      </c>
      <c r="F5" s="80">
        <f>1-SUM(F2:F4)</f>
        <v>0.28749999999999998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0.49634</v>
      </c>
      <c r="D2" s="144">
        <v>0.48973</v>
      </c>
      <c r="E2" s="144">
        <v>0.48307</v>
      </c>
      <c r="F2" s="144">
        <v>0.47643000000000002</v>
      </c>
      <c r="G2" s="144">
        <v>0.46976999999999997</v>
      </c>
      <c r="H2" s="144">
        <v>0.46232999999999996</v>
      </c>
      <c r="I2" s="144">
        <v>0.45490000000000003</v>
      </c>
      <c r="J2" s="144">
        <v>0.44752000000000003</v>
      </c>
      <c r="K2" s="144">
        <v>0.44026000000000004</v>
      </c>
      <c r="L2" s="144">
        <v>0.43310000000000004</v>
      </c>
      <c r="M2" s="144">
        <v>0.42603999999999997</v>
      </c>
      <c r="N2" s="144">
        <v>0.41911000000000004</v>
      </c>
      <c r="O2" s="144">
        <v>0.41232000000000002</v>
      </c>
      <c r="P2" s="144">
        <v>0.40567999999999999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0.15523999999999999</v>
      </c>
      <c r="D4" s="144">
        <v>0.15148</v>
      </c>
      <c r="E4" s="144">
        <v>0.14781</v>
      </c>
      <c r="F4" s="144">
        <v>0.14422000000000001</v>
      </c>
      <c r="G4" s="144">
        <v>0.14071999999999998</v>
      </c>
      <c r="H4" s="144">
        <v>0.13750000000000001</v>
      </c>
      <c r="I4" s="144">
        <v>0.13438</v>
      </c>
      <c r="J4" s="144">
        <v>0.13137000000000001</v>
      </c>
      <c r="K4" s="144">
        <v>0.12842000000000001</v>
      </c>
      <c r="L4" s="144">
        <v>0.12554999999999999</v>
      </c>
      <c r="M4" s="144">
        <v>0.12275999999999999</v>
      </c>
      <c r="N4" s="144">
        <v>0.12003999999999999</v>
      </c>
      <c r="O4" s="144">
        <v>0.11739000000000001</v>
      </c>
      <c r="P4" s="144">
        <v>0.1148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0.42027260127360389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0.22816477994089704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0.16757983535985121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0.50199999999999989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0.71533333333333327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35.692</v>
      </c>
      <c r="D13" s="143">
        <v>34.398000000000003</v>
      </c>
      <c r="E13" s="143">
        <v>33.085999999999999</v>
      </c>
      <c r="F13" s="143">
        <v>31.992000000000001</v>
      </c>
      <c r="G13" s="143">
        <v>30.78</v>
      </c>
      <c r="H13" s="143">
        <v>29.68</v>
      </c>
      <c r="I13" s="143">
        <v>28.536000000000001</v>
      </c>
      <c r="J13" s="143">
        <v>27.498000000000001</v>
      </c>
      <c r="K13" s="143">
        <v>26.495000000000001</v>
      </c>
      <c r="L13" s="143">
        <v>25.454999999999998</v>
      </c>
      <c r="M13" s="143">
        <v>25.664999999999999</v>
      </c>
      <c r="N13" s="143">
        <v>23.53</v>
      </c>
      <c r="O13" s="143">
        <v>23.029</v>
      </c>
      <c r="P13" s="143">
        <v>22.542999999999999</v>
      </c>
    </row>
    <row r="14" spans="1:16" x14ac:dyDescent="0.25">
      <c r="B14" s="16" t="s">
        <v>170</v>
      </c>
      <c r="C14" s="143">
        <f>maternal_mortality</f>
        <v>3.68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0.41799999999999998</v>
      </c>
      <c r="E2" s="92">
        <f>food_insecure</f>
        <v>0.41799999999999998</v>
      </c>
      <c r="F2" s="92">
        <f>food_insecure</f>
        <v>0.41799999999999998</v>
      </c>
      <c r="G2" s="92">
        <f>food_insecure</f>
        <v>0.41799999999999998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0.41799999999999998</v>
      </c>
      <c r="F5" s="92">
        <f>food_insecure</f>
        <v>0.41799999999999998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0.10178283930644232</v>
      </c>
      <c r="D7" s="92">
        <f>diarrhoea_1_5mo/26</f>
        <v>9.8357798038076927E-2</v>
      </c>
      <c r="E7" s="92">
        <f>diarrhoea_6_11mo/26</f>
        <v>9.8357798038076927E-2</v>
      </c>
      <c r="F7" s="92">
        <f>diarrhoea_12_23mo/26</f>
        <v>7.1349317163076922E-2</v>
      </c>
      <c r="G7" s="92">
        <f>diarrhoea_24_59mo/26</f>
        <v>7.1349317163076922E-2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0.41799999999999998</v>
      </c>
      <c r="F8" s="92">
        <f>food_insecure</f>
        <v>0.41799999999999998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0.70900000000000007</v>
      </c>
      <c r="E9" s="92">
        <f>IF(ISBLANK(comm_deliv), frac_children_health_facility,1)</f>
        <v>0.70900000000000007</v>
      </c>
      <c r="F9" s="92">
        <f>IF(ISBLANK(comm_deliv), frac_children_health_facility,1)</f>
        <v>0.70900000000000007</v>
      </c>
      <c r="G9" s="92">
        <f>IF(ISBLANK(comm_deliv), frac_children_health_facility,1)</f>
        <v>0.70900000000000007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0.10178283930644232</v>
      </c>
      <c r="D11" s="92">
        <f>diarrhoea_1_5mo/26</f>
        <v>9.8357798038076927E-2</v>
      </c>
      <c r="E11" s="92">
        <f>diarrhoea_6_11mo/26</f>
        <v>9.8357798038076927E-2</v>
      </c>
      <c r="F11" s="92">
        <f>diarrhoea_12_23mo/26</f>
        <v>7.1349317163076922E-2</v>
      </c>
      <c r="G11" s="92">
        <f>diarrhoea_24_59mo/26</f>
        <v>7.1349317163076922E-2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0.41799999999999998</v>
      </c>
      <c r="I14" s="92">
        <f>food_insecure</f>
        <v>0.41799999999999998</v>
      </c>
      <c r="J14" s="92">
        <f>food_insecure</f>
        <v>0.41799999999999998</v>
      </c>
      <c r="K14" s="92">
        <f>food_insecure</f>
        <v>0.41799999999999998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0.76700000000000002</v>
      </c>
      <c r="I17" s="92">
        <f>frac_PW_health_facility</f>
        <v>0.76700000000000002</v>
      </c>
      <c r="J17" s="92">
        <f>frac_PW_health_facility</f>
        <v>0.76700000000000002</v>
      </c>
      <c r="K17" s="92">
        <f>frac_PW_health_facility</f>
        <v>0.76700000000000002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0.53900000000000003</v>
      </c>
      <c r="M23" s="92">
        <f>famplan_unmet_need</f>
        <v>0.53900000000000003</v>
      </c>
      <c r="N23" s="92">
        <f>famplan_unmet_need</f>
        <v>0.53900000000000003</v>
      </c>
      <c r="O23" s="92">
        <f>famplan_unmet_need</f>
        <v>0.53900000000000003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0.20957484848022478</v>
      </c>
      <c r="M24" s="92">
        <f>(1-food_insecure)*(0.49)+food_insecure*(0.7)</f>
        <v>0.57777999999999996</v>
      </c>
      <c r="N24" s="92">
        <f>(1-food_insecure)*(0.49)+food_insecure*(0.7)</f>
        <v>0.57777999999999996</v>
      </c>
      <c r="O24" s="92">
        <f>(1-food_insecure)*(0.49)+food_insecure*(0.7)</f>
        <v>0.57777999999999996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8.9817792205810626E-2</v>
      </c>
      <c r="M25" s="92">
        <f>(1-food_insecure)*(0.21)+food_insecure*(0.3)</f>
        <v>0.24762000000000001</v>
      </c>
      <c r="N25" s="92">
        <f>(1-food_insecure)*(0.21)+food_insecure*(0.3)</f>
        <v>0.24762000000000001</v>
      </c>
      <c r="O25" s="92">
        <f>(1-food_insecure)*(0.21)+food_insecure*(0.3)</f>
        <v>0.24762000000000001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6.3331663513183659E-2</v>
      </c>
      <c r="M26" s="92">
        <f>(1-food_insecure)*(0.3)</f>
        <v>0.17460000000000001</v>
      </c>
      <c r="N26" s="92">
        <f>(1-food_insecure)*(0.3)</f>
        <v>0.17460000000000001</v>
      </c>
      <c r="O26" s="92">
        <f>(1-food_insecure)*(0.3)</f>
        <v>0.17460000000000001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0.63727569580078103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2020-03-24T06:50:47Z</dcterms:modified>
</cp:coreProperties>
</file>