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71DB8121-BF01-400B-8FE7-838A88CABB45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C7" i="51" s="1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H12" i="2"/>
  <c r="I12" i="2" s="1"/>
  <c r="H13" i="2"/>
  <c r="I13" i="2" s="1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2" i="2"/>
  <c r="I18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5" i="2"/>
  <c r="I14" i="2"/>
  <c r="I11" i="2"/>
  <c r="I10" i="2"/>
  <c r="I9" i="2"/>
  <c r="I8" i="2"/>
  <c r="I7" i="2"/>
  <c r="I5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E31D80C6-E5E8-462B-AA87-AD0A86F25B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099D83E1-B8DE-4C2A-A61B-0E939CD5DF4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57D4A546-B591-4CED-A4F2-6497B57CF84E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20F85AED-B13E-4D87-B0F7-0B79272B706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FC6A701E-6F3A-4F7D-853F-DAFFFA7C3ACE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FA0EAE5B-0878-48D6-81A2-C25AF662C08B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C8B38EAE-0CA6-4F10-A0E6-166D488A07EF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B8BA83B5-3361-4FD3-B07F-D9AFACFD45C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4DC3EC49-105B-4499-A961-AD97BF78600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E514CBE4-2028-4DDC-B8E5-4D32A2775240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06E2ACB9-1E40-4FFE-B7D4-D773279239CA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86B50DF7-F2C0-47A8-A3F6-C7DE9CAA102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585671B5-33C5-462F-8FC3-DA61C010A7A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4D10E220-70F5-44B1-8F1C-C0DE180669A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F96C9F66-13DE-44FD-B42C-74A3FD9EB67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D6B1ED34-8E14-498A-B1DB-ED014778418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092498BD-94AF-4DF8-AB4B-D093FB2D496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35D9CD62-E7A6-4E1E-8CD8-EE35B675445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72F3416C-1BDF-419D-AB6C-686609A69FA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80A4C904-2A58-48A5-9FCD-572F21A6A4C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E3E8A6D2-B8E7-432F-80B8-1E18A78993C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22CCD3CE-0BB1-4313-8C1D-3858808EE25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C23FFA10-FD89-4A46-82A3-45578F27C3D9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BB675B94-2C1D-493B-984B-53D9D4ECCFC4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F5B10D0C-9B24-4C78-A25C-43656933AD44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7773E3ED-CC6A-493F-8D94-574D1FDD00E2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CA64C453-D424-4018-8ED4-0D2F38BC7E5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4E359D19-D927-40E9-AE38-5DEDA5E4E5FA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827F3C2B-C8BF-464C-9AF5-6F8568A1BB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9E6BDDB7-BD12-4E62-97BC-F6A2D41EB5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B5AEA6F0-C028-43DC-B9E4-B98F64F393A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3CBBA018-485D-4835-9AB0-6D9664CB9C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912CCC3E-B361-4D8B-81C4-461E190BAD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E681986F-EC8D-4EDB-B9EB-B64608CE30C8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B6335D4C-3C0B-40A6-BC91-5A563066AA8E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5307AE9-D413-4215-886D-8C861D7702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F8856E87-3BC6-4B28-BAD4-D2CC5C1F9B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8557E38C-15CF-42B7-8095-6CA218C8E5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17D74253-4C21-4EAB-8CD7-BDEA1BC1C9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EC1D4945-25E4-49A8-8AF4-E4E8E77C66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B01A727B-ED11-45A3-955E-6ED4A9AB7F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B3BF9BDD-D50B-4E99-85AF-17A73B7B41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61261337-679A-4B75-9E11-5CDBA25618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BB91EA8F-B9A3-451B-AC64-B88E18AAE4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287FF45E-7314-4F19-8364-D92E421E882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1E170B24-EFFF-4A53-AA15-C14CD2DC07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1FA9C13C-3517-48C0-8187-DA6128E77F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C702F0FE-4A02-4D3C-9A54-55EA55E0DD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94606A63-AB5D-473B-9B0F-11EDAD7C06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69B30F4A-1FCB-4F14-A37A-61F284FAD3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5A0EEB27-271D-4885-9DC8-A0453E9104B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F1986AF0-D1EA-461F-BA20-55022E020A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115F76F3-F830-4D36-B23A-259EE4B19B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84BFE09C-08B0-4CC6-92A0-47B8DD7BFC0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1879A2C5-162E-46AF-B54D-FB3B406C94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C390BC60-5B61-4D5E-B140-B039967102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40A23417-C230-4D81-A8BD-363B7FA74B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53841A08-9325-444F-B60B-C3A51DE9EE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724A82E3-133A-4992-8697-47673B0202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F34BF113-8D07-4E9D-A390-B5F6D308FC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A3A34C09-1C12-47B0-8D47-F2B99BC047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049D126E-FAC4-44FA-9310-03F8B69F79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9475E94C-87B6-46F8-BC2B-54B5F62AC3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C43A5BB0-933C-4287-9887-6217C6C08D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1E51A06B-5F78-4958-8ABC-79B74433CC9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DC034EDB-126E-4208-A9D7-5B414B2079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AA8A6057-44E0-4E94-9A97-129F88E3C5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5B2D6C2C-797E-490E-B340-5D3D310CAF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936878BC-246B-40B8-BB46-CBFC72DB15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7D26B463-AE47-4329-9F74-FE2151911C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C44D0FAF-4453-42E5-B351-37686F50E8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6CBEF5C3-EC8B-474F-88AF-8E5DD50292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D879E21E-160C-4C62-85E5-472C634DED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80BDA2CA-FE0E-4EB9-8D51-FFB10A71FF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956BDFD9-003F-40D2-8E1D-9F2467F94D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5AA81611-8ED7-487C-A0D4-8C7994EC0F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D370B696-B033-4E6E-9F00-8E9E9DC9BA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B446C64C-7DA9-4252-8D51-7572620F40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7F815241-D336-412D-ACB0-F710017DA0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07A5AB55-C8A4-4721-90C2-2748560EF8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2542221A-8E82-4A95-86F0-055E191435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F6102DB8-A245-40E5-A0A3-4D4E525414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2762A7DD-16A9-4A5B-A8AE-B46D08799C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807FD8A3-0903-4CBD-BBB4-76BE4FCB40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B8F7FC97-CAC0-4C47-AFEE-22606466C5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45896242-05C4-42E0-BB84-547149F91F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76BB8101-A75A-4DCA-A235-053C853F41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29BDC041-8376-4309-A406-72A606A832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DCB2ACD6-6BE4-4F96-820B-F614FC30CE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DBA73676-74A5-4383-9ECD-D9A72FAA8D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3F490845-5E44-40E7-BEB8-303A80FDB8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A322F09B-D872-45B9-8478-8A873FAFBF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B70D8E0F-67D8-4973-84CF-530F9F6B10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4999AC5A-5076-456E-B8CB-0E07185DFB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CCA82CC1-10D9-4573-B26D-7035E5FC3C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488436DD-BD4A-4585-862E-4F9AB0C148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1FA4B5D5-5D08-4D0B-9651-10EDD936EA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C9CBA611-42A7-45BE-9FDD-43726E93E8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A58EB268-62C4-4C5A-95D5-641996C356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95146980-E364-4661-9703-CDEAB3483E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D96F4A3E-A726-46E0-8509-6B9AFA647A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406CF9C1-E32D-424C-99BD-706F3925E9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E4F6410B-6F82-4D29-ADD1-9E7C403A4B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7C0D10C6-5B3F-4796-8A79-E1E8D1F249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87BC5C84-E1CB-4EFD-A7F3-9875EA3DB6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884CA7E1-98D7-4EB5-8C1B-C3F99EF655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F0D77BFC-B88B-4A8D-8FC2-D63ADA6768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580B86AA-CA43-4684-8B20-1793E5FA6C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FBA25315-480D-4FF1-AE94-D0D227B75A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D253217D-8AFD-4B01-9D60-17E108A204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5B4F8D58-22FE-4CEC-B7CB-3D8E176CBB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39DFA4AF-7889-47C2-8329-B70B10EBE2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16E1F3FB-4041-465A-802E-BFFAA753E9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0C233338-40E3-469A-9A78-1564F62532D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1A921575-F3C1-4E88-AA5F-5AB71A5568A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000E436B-B433-4326-B3D9-220DF2715D5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E4C2E7ED-120F-46F2-A1CE-6B9075A4235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38A8A863-7560-44D8-B7F1-0764ED71660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4073D482-BA8F-4202-AC50-2CC8CCE61C9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869B7A54-4DCF-4A90-B620-A8D996F48C3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3670F53B-E866-4032-B6C0-660124B762E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282B2796-86C6-464B-B5D3-A5237A15A6E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98E0F035-80E6-4740-A31D-9B64DD45DCB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9DAF8D26-FC31-4AC2-AB72-BA593221D94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378472CE-563C-4908-BE7F-305A7A69786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5CF6D662-B41D-4057-B118-2652288A17D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C416A8CE-01A4-4F01-9694-5FDA87AFB9E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0DE92F63-E34D-47D2-87E9-CEE468A7060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D3F71AE3-901C-41EE-81BA-7A3F89E58F4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63BA1B1E-2E9F-45C9-BF88-12013EDB500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F16983FD-00C8-4BB3-8D9C-580E2B62851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4844E577-4F40-4E80-8473-C49810FCC11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9369BC4E-F289-4C60-987C-89F222965C7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049535B6-2587-475D-A07C-5188EC54E92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0E182B92-BD1D-4A76-A024-3DD76EA11EE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AD6D768D-8727-4D68-8EF9-C0763CC0A1E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56DD9345-9CC4-404A-B667-1689A852EE0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403FEBC0-4EB5-4BF5-8835-B31B583AF80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EFD9E43C-AAB9-4497-B4D1-FF5A6CF63B0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6D8A070C-1ECD-4390-A942-46961550E9C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306BA702-3183-464F-BF34-41A4E845E83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F9D904C7-6562-438A-9220-2ECCD9F1391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3DB106FC-C54D-45A7-8C94-C4ADA0C5788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06B5F87A-AA6F-4CC7-8909-6BB383CDC19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778F02A7-0EBF-4E85-8AEC-9259C72A9DA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C160DB72-48E7-4B8F-BFCC-EAE50F05955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42613BF6-A580-407C-8D07-5AD1D351762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1591D2E3-B1A5-45DC-8436-C191FA15E32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2541527A-7648-4C9F-BFA2-1143F85961C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27DA2491-1DA8-470B-A160-F157E2DA79D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0792E223-8755-42BF-9AEB-CE5EEDD225A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ECBA4A06-00FF-4573-BC1A-2A6B0FB3C4A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BF6E8901-7629-46AA-84EE-49F1F1B4388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B5324C3E-0D9F-431A-BD69-0960E10DFAB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A183BA21-9FB3-41AA-BF5D-95CE13CDFF1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BA0633C8-C764-4573-A0C2-88C6ABBBBAA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C3B33BCF-6C4F-4B7E-9F7B-C84414617FC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4AE66B67-4C08-479B-97E1-99B011D9A3E3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4EEE9237-2BDC-422A-9159-2F365FBE606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52794FBC-438E-4A60-904B-7EB1BAC9D37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A32B2E12-4503-4C4D-ABAA-99A18837B69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80D184DB-66B4-4702-86B7-6D7E885915B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49D1DE13-BE3C-4176-98CF-82577BCC02D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74A2B435-12F1-42C8-9C54-C333EA834DF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98830758-05A5-464D-AA12-D2CFB847B13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87AD4594-506A-4D07-BACC-472EFCFF3BD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80331355-E18C-4F34-BEC6-D51A70FF759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8EBAF44B-40F9-46B3-B71F-78AE30293B0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4F1041DE-9DD5-42D3-B343-B0D43344355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A49111C8-7D5C-4EB3-B926-30DE833BCBD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5C670DC4-C188-4D58-8E2A-06538C6E66A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C548E739-FE52-47A8-8519-78EB0A12A03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11992672-E0D8-4224-B612-40AC4CB26CF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959BDC82-FCC5-460D-96B4-B75E9169FE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7EC4A08F-A9EE-4946-AD34-4ED7A10A14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9276F34F-7962-4C8F-B24F-351CB1FAC78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8142F59E-44D6-401A-AEE8-0BCFD5B0A8E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0239442E-1E24-4201-82CE-9DF4520EF9A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FE299F83-7543-443E-A1FF-719D2DED816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B25D886E-0D32-44D3-82EC-FAB86F4C1C0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5F2AD384-1D6F-4BCE-8C80-3CD2F50B6F9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2236D819-C593-4F2F-A206-222F60FBC97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347ADB2A-8E08-40D5-9001-278428BFDD2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3052358E-3792-4AF4-AAC9-BD199C5282B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1D8D3334-44D2-407F-9755-BE342AFD65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2937801F-FAA2-4D46-B7D0-55A25CDDD31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64CEB73C-2520-4C7D-A76E-B3BCF67F30F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39825D4B-9928-4CEB-A908-91CE350D5F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8DB147FB-3B61-409D-9E81-C754FF11796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767FF886-D21A-41FB-B10B-7DABE7AF7C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32E9562E-B404-466B-A932-7B168095D0E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269D2694-9FF5-48CA-8DBE-0CC7AA32A73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862E5B82-DEA2-48CA-8DB0-0FDAFB6550F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859EB5A4-54BF-4B79-82BB-42279026DE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80905B4D-E2D8-4453-BBF8-D70C5DA21BE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8AD91FF9-B8A4-41EA-82BA-297E55B29F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D9ECA8C3-5C2C-4C29-BC1E-50D0955E49D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37F257C7-AEAA-44F2-B53C-8E232C73EAF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4F760165-037B-4BD3-AE6F-87AB86508A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2C67973E-4FC2-4511-8593-57D4BF719C9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8FEC2FA5-309D-4F98-9A7B-9B2D07B0CCB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25DEE65D-6CEC-4265-9F58-0CF6FC348BA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42E1F03A-E077-4829-8B0E-64D8844E664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0169F3DD-AE19-45F0-A96A-E40B83D218B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064D96B1-EAAF-480B-B84B-F29FC89109D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A1FCDCAB-1C47-45C1-B80A-DB7B7070BDC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5F3ECB9E-D611-4414-942E-8D568A53F59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9F995A9C-F3A7-476F-BC86-634E3DA74E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33AB8561-E9EA-45B0-8202-21F79824E2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4F5D15C0-E962-41E0-8D33-6448C217EE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128C6B01-205A-4FA2-A36C-163CFF5FBC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02C285BB-A130-4054-BB16-F15CD6BB225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ACC03569-6C7B-40FA-944C-D4B2E7ACE74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CD06614D-C11C-45C9-8190-84BFE5328904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C900FE35-A79D-464F-BFE8-100C4E19B074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896046B5-E388-429B-98E4-0E681390F910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422F0748-91C6-4C33-A817-29894C5BA5C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CA080B63-B45D-4792-8F62-727BBD4B41F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BE830FC0-909A-4FA4-AA86-3660145B366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0A1F17B8-9DA8-420D-BFD9-FB16995B9E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DB62F85D-CE12-4A7B-B56E-8D3E1AC4D4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8D7CD691-D0B7-411C-9662-986B53FFED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57668E1D-33C0-4F75-A05F-1BAB166F53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7CE257DE-4124-464B-B7A5-E57873980A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41C64352-2248-4941-988F-9CFC028F84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25959C64-8480-4D00-AF8B-57C383D3C7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96B2E644-04A5-409C-8DAE-CDE705BCF4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5E908C69-69C4-4265-AEF3-A7286A90E3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6A6382EA-AE49-48BD-B25A-B6F585B8BD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93C36091-F51A-4191-96F7-442592D55B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17F95613-3711-461A-875A-2990CC0D54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E8BB6D65-9400-45D0-9A82-0ABF8119E5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C853A41D-3DFB-4018-A95F-E01A22CE3F1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D5D1B925-08F6-4B52-825C-E602E48B71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15968ED5-961D-4B5C-AEAD-4ADCCA0269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8990DB13-C3B9-4E0E-AAB3-30BD1080807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E0CCB087-4B53-442D-BE00-7E63C206D5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8038D537-74A0-4073-B056-69C517FD00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B0BC5F90-5B49-4193-91A5-4586DCECE9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E98ECF3C-F339-4D39-9057-84E7D2A0F4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E8A2F68F-3D8D-42FB-A7B4-E8B4963806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EBD39241-61C2-49CC-9966-122183A8FE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E3C1C90C-737C-4054-9B58-8C8559381E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D7BC595D-280A-4805-AA0A-CE6D2AD787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D9F66BF2-C360-4E09-BDC3-0D7676099A7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14A8AD89-EBA1-4296-B130-95CFB5B67D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FA58A8CD-1A58-4C7F-BFD6-A38EA495E4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A4435256-F02A-4722-9404-58BC6C1BEA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044FFC2A-8A37-4F41-AC12-2EE5D31A16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61F82DEF-AC69-477A-8690-AE13550DFC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E83B64C6-0C1F-4D36-9B8A-6A79353A72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DE269E44-8903-4601-82D4-6E76A2F9BE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BBCE6DDD-5171-4551-8D11-3BB3F2A936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7365D6E4-8A79-4B69-A16F-AE5A81C5DB6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45FD8989-77F9-4229-8617-615EAFC81C4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5584268D-2B8B-4F50-A281-E261F3978E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E1D86BFE-26A6-4CEE-83A5-779A0FDAE2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0E371605-CDF7-4253-9A92-F4A5A49B66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C56F4BA5-0EEF-49D0-8043-D5FEC00B02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FB44CFDA-256E-409B-8A4E-26FAB1E435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1F54F33A-128A-4ACC-A1A8-37BD2095F7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7DCC4237-AC90-4041-9E76-0C655925160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72A7C2BF-BD8B-44D8-B888-FD43E8CD965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08B94D7F-FC7A-4AB1-840E-85647F28C09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BFA5B954-7108-43E1-8629-2C7B2DAE2B4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83E0A9D5-D98F-48AE-8B39-ED578CE6D071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9FD2C6D6-D5D8-49BE-9102-07AFF02F520E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E09137D7-7C95-425D-A571-A6D53C22D61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4A7F58E9-9AFE-4570-96FD-674AA7DFFA0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EF07999E-A6FF-4F07-9DA2-58ED0A7CCF2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4368AD85-C1BA-489C-B38A-812DB3CCAED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072ADB9C-1532-43A6-8E95-5E6EBF5E299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9AC18326-7C21-421C-9900-39AD793B8CA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22858E4F-99BE-44BF-87D9-1D45A9D367A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EBEF9359-029C-4904-8172-871D1ACF275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3CA2F394-E6C1-4CA8-BF67-E4C34D11070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52DEA1CE-C818-4A03-BE72-DEEE103D0C5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EE67D6C0-2341-4D97-A147-E77BF20B30F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A8955C12-1F5F-4FB2-B5A2-84F701F31BA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CB857224-B3E1-4897-B08B-5CA3E1FC3D7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2FF54880-89F2-4B4D-9BC4-53D52B089E4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525873CF-BDD2-415C-AF29-4A32CA024C6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E5CFAE4D-3541-46CA-B5B6-7A5F7FD83B8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C7DFE4C3-E871-47EA-A911-3B2DD07468F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B8976462-F9DC-42F0-ABBB-2C8DD3ABD3E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92784E2E-CD12-4E98-9E30-E39BC0E1CC0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567037C2-AF1A-448C-8E5D-C87D7D9FAFF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3A09316B-630F-4A06-9930-7E8DF7DB359E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6612818F-13BC-40C9-8E65-7BC6601042B3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2B1ECE55-8E05-4B6A-B776-1C64B2B7657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EEEACC54-A1D2-4B6B-B00E-4B5935811B3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1A4E9463-F946-415C-95D2-6CD17C47113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D327C94E-A7E9-41F6-81B6-D2E38FAD01C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39FC5C7E-38FD-4DEA-AC34-307842DE3B1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DCE5F5F1-F3E3-49F3-8C6B-5459065E0E5A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39B8A50A-D63A-450B-B08A-3BBFE013E90D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EB97944A-F7BE-430C-8F24-C3E8E5BB5D2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6F5787D2-9235-4369-9BD1-A33F120CF80C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421C6302-17F4-473D-A420-C54AED8AF86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D8B600DE-1B1C-431F-BBC7-8C276B9649E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FB798EF5-E36E-4C38-B25C-B702FD93888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39E4FB61-7BC8-472F-99BE-16F4F28FFB35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38DE8134-23BB-48AB-B836-22ADE6831A7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01AE08A5-7E05-448A-9188-3FA0B7A1AC1E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962E5C9C-703C-45A8-B599-8F359C66910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E8F9D5C3-5855-4FBC-BD38-A2FAEB27730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C4568D3E-3534-4645-B9F1-3F1C55BEADE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AD50B61A-C5E7-42E4-BBD2-BB8A2B8F0EF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0AA2BB22-7E88-4FB6-A4AD-182411783D4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795CA806-6B2F-4178-9BD4-CB83FF5380A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E9362ADA-6EA6-447B-AFFC-8E9DF14DF143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AA7A9837-6B40-49C4-AE53-39D3CE4B2E4B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CD774666-EC06-4C5A-89A7-A437F1C1CE5F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395D3B74-192F-4971-877E-8623B64F10C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D3C6035E-E26B-420B-8B80-23CC240FC35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3D841040-5780-4387-921B-593C6DD0DC8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D6E5E942-2D53-490E-827C-643F8AFADBD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FE66EEF0-5CA8-484F-88B5-DEE016EDE24A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D65F2B89-288D-44E3-AA49-78883D146B6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7CFA0162-DB86-4E6B-88A2-9178F1E0AB50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76CFCC89-320D-4340-9FED-8CFBE289C93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D02E9455-B351-4BE1-9E57-F69258924372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1697DE75-B87F-4CEF-ADB6-316F2E754FA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<sst xmlns="http://schemas.openxmlformats.org/spreadsheetml/2006/main" count="1102" uniqueCount="271">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</sst>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1190096</v>
      </c>
    </row>
    <row r="8" spans="1:3" ht="15" customHeight="1" x14ac:dyDescent="0.25">
      <c r="B8" s="7" t="s">
        <v>106</v>
      </c>
      <c r="C8" s="70">
        <v>0.55100000000000005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0.33364898681640598</v>
      </c>
    </row>
    <row r="11" spans="1:3" ht="15" customHeight="1" x14ac:dyDescent="0.25">
      <c r="B11" s="7" t="s">
        <v>108</v>
      </c>
      <c r="C11" s="70">
        <v>0.57200000000000006</v>
      </c>
    </row>
    <row r="12" spans="1:3" ht="15" customHeight="1" x14ac:dyDescent="0.25">
      <c r="B12" s="7" t="s">
        <v>109</v>
      </c>
      <c r="C12" s="70">
        <v>0.48499999999999999</v>
      </c>
    </row>
    <row r="13" spans="1:3" ht="15" customHeight="1" x14ac:dyDescent="0.25">
      <c r="B13" s="7" t="s">
        <v>110</v>
      </c>
      <c r="C13" s="70">
        <v>0.67900000000000005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0.10150000000000001</v>
      </c>
    </row>
    <row r="24" spans="1:3" ht="15" customHeight="1" x14ac:dyDescent="0.25">
      <c r="B24" s="20" t="s">
        <v>102</v>
      </c>
      <c r="C24" s="71">
        <v>0.48739999999999994</v>
      </c>
    </row>
    <row r="25" spans="1:3" ht="15" customHeight="1" x14ac:dyDescent="0.25">
      <c r="B25" s="20" t="s">
        <v>103</v>
      </c>
      <c r="C25" s="71">
        <v>0.33069999999999999</v>
      </c>
    </row>
    <row r="26" spans="1:3" ht="15" customHeight="1" x14ac:dyDescent="0.25">
      <c r="B26" s="20" t="s">
        <v>104</v>
      </c>
      <c r="C26" s="71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0.191</v>
      </c>
    </row>
    <row r="30" spans="1:3" ht="14.25" customHeight="1" x14ac:dyDescent="0.25">
      <c r="B30" s="30" t="s">
        <v>76</v>
      </c>
      <c r="C30" s="73">
        <v>3.7999999999999999E-2</v>
      </c>
    </row>
    <row r="31" spans="1:3" ht="14.25" customHeight="1" x14ac:dyDescent="0.25">
      <c r="B31" s="30" t="s">
        <v>77</v>
      </c>
      <c r="C31" s="73">
        <v>9.6000000000000002E-2</v>
      </c>
    </row>
    <row r="32" spans="1:3" ht="14.25" customHeight="1" x14ac:dyDescent="0.25">
      <c r="B32" s="30" t="s">
        <v>78</v>
      </c>
      <c r="C32" s="73">
        <v>0.67500000001490124</v>
      </c>
    </row>
    <row r="33" spans="1:5" ht="13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25.4</v>
      </c>
    </row>
    <row r="38" spans="1:5" ht="15" customHeight="1" x14ac:dyDescent="0.25">
      <c r="B38" s="16" t="s">
        <v>91</v>
      </c>
      <c r="C38" s="75">
        <v>49.2</v>
      </c>
      <c r="D38" s="17"/>
      <c r="E38" s="18"/>
    </row>
    <row r="39" spans="1:5" ht="15" customHeight="1" x14ac:dyDescent="0.25">
      <c r="B39" s="16" t="s">
        <v>90</v>
      </c>
      <c r="C39" s="75">
        <v>72.900000000000006</v>
      </c>
      <c r="D39" s="17"/>
      <c r="E39" s="17"/>
    </row>
    <row r="40" spans="1:5" ht="15" customHeight="1" x14ac:dyDescent="0.25">
      <c r="B40" s="16" t="s">
        <v>171</v>
      </c>
      <c r="C40" s="75">
        <v>1.24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2.1299999999999999E-2</v>
      </c>
      <c r="D45" s="17"/>
    </row>
    <row r="46" spans="1:5" ht="15.75" customHeight="1" x14ac:dyDescent="0.25">
      <c r="B46" s="16" t="s">
        <v>11</v>
      </c>
      <c r="C46" s="71">
        <v>0.1114</v>
      </c>
      <c r="D46" s="17"/>
    </row>
    <row r="47" spans="1:5" ht="15.75" customHeight="1" x14ac:dyDescent="0.25">
      <c r="B47" s="16" t="s">
        <v>12</v>
      </c>
      <c r="C47" s="71">
        <v>0.20649999999999999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3.3016286084949997</v>
      </c>
      <c r="D51" s="17"/>
    </row>
    <row r="52" spans="1:4" ht="15" customHeight="1" x14ac:dyDescent="0.25">
      <c r="B52" s="16" t="s">
        <v>125</v>
      </c>
      <c r="C52" s="76">
        <v>3.5461609406700001</v>
      </c>
    </row>
    <row r="53" spans="1:4" ht="15.75" customHeight="1" x14ac:dyDescent="0.25">
      <c r="B53" s="16" t="s">
        <v>126</v>
      </c>
      <c r="C53" s="76">
        <v>3.5461609406700001</v>
      </c>
    </row>
    <row r="54" spans="1:4" ht="15.75" customHeight="1" x14ac:dyDescent="0.25">
      <c r="B54" s="16" t="s">
        <v>127</v>
      </c>
      <c r="C54" s="76">
        <v>2.61368812087</v>
      </c>
    </row>
    <row r="55" spans="1:4" ht="15.75" customHeight="1" x14ac:dyDescent="0.25">
      <c r="B55" s="16" t="s">
        <v>128</v>
      </c>
      <c r="C55" s="76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0.39278850690258504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35.286531868543193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44.645110031904643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57.846169364861282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0.14631853752647689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1.0889484580530921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1.0889484580530921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1.0889484580530921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1.0889484580530921</v>
      </c>
      <c r="E13" s="86" t="s">
        <v>202</v>
      </c>
    </row>
    <row r="14" spans="1:5" ht="15.75" customHeight="1" x14ac:dyDescent="0.25">
      <c r="A14" s="11" t="s">
        <v>187</v>
      </c>
      <c r="B14" s="85">
        <v>0.371</v>
      </c>
      <c r="C14" s="85">
        <v>0.95</v>
      </c>
      <c r="D14" s="86">
        <v>14.170171901025009</v>
      </c>
      <c r="E14" s="86" t="s">
        <v>202</v>
      </c>
    </row>
    <row r="15" spans="1:5" ht="15.75" customHeight="1" x14ac:dyDescent="0.25">
      <c r="A15" s="11" t="s">
        <v>209</v>
      </c>
      <c r="B15" s="85">
        <v>0.371</v>
      </c>
      <c r="C15" s="85">
        <v>0.95</v>
      </c>
      <c r="D15" s="86">
        <v>14.170171901025009</v>
      </c>
      <c r="E15" s="86" t="s">
        <v>202</v>
      </c>
    </row>
    <row r="16" spans="1:5" ht="15.75" customHeight="1" x14ac:dyDescent="0.25">
      <c r="A16" s="52" t="s">
        <v>57</v>
      </c>
      <c r="B16" s="85">
        <v>0.68200000000000005</v>
      </c>
      <c r="C16" s="85">
        <v>0.95</v>
      </c>
      <c r="D16" s="86">
        <v>0.22645423336558179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0.20300000000000001</v>
      </c>
      <c r="C18" s="85">
        <v>0.95</v>
      </c>
      <c r="D18" s="87">
        <v>1.4408777640412029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1.4408777640412029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1.4408777640412029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1.3333714995118502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24.144360821115924</v>
      </c>
      <c r="E22" s="86" t="s">
        <v>202</v>
      </c>
    </row>
    <row r="23" spans="1:5" ht="15.75" customHeight="1" x14ac:dyDescent="0.25">
      <c r="A23" s="52" t="s">
        <v>34</v>
      </c>
      <c r="B23" s="85">
        <v>0.65400000000000003</v>
      </c>
      <c r="C23" s="85">
        <v>0.95</v>
      </c>
      <c r="D23" s="86">
        <v>4.6467238358608798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20.475417278229145</v>
      </c>
      <c r="E24" s="86" t="s">
        <v>202</v>
      </c>
    </row>
    <row r="25" spans="1:5" ht="15.75" customHeight="1" x14ac:dyDescent="0.25">
      <c r="A25" s="52" t="s">
        <v>87</v>
      </c>
      <c r="B25" s="85">
        <v>0.33100000000000002</v>
      </c>
      <c r="C25" s="85">
        <v>0.95</v>
      </c>
      <c r="D25" s="86">
        <v>20.479713943319375</v>
      </c>
      <c r="E25" s="86" t="s">
        <v>202</v>
      </c>
    </row>
    <row r="26" spans="1:5" ht="15.75" customHeight="1" x14ac:dyDescent="0.25">
      <c r="A26" s="52" t="s">
        <v>137</v>
      </c>
      <c r="B26" s="85">
        <v>0.371</v>
      </c>
      <c r="C26" s="85">
        <v>0.95</v>
      </c>
      <c r="D26" s="86">
        <v>4.5944005107403125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3.8513728622603769</v>
      </c>
      <c r="E27" s="86" t="s">
        <v>202</v>
      </c>
    </row>
    <row r="28" spans="1:5" ht="15.75" customHeight="1" x14ac:dyDescent="0.25">
      <c r="A28" s="52" t="s">
        <v>84</v>
      </c>
      <c r="B28" s="85">
        <v>0.185</v>
      </c>
      <c r="C28" s="85">
        <v>0.95</v>
      </c>
      <c r="D28" s="86">
        <v>1.7522834293665177</v>
      </c>
      <c r="E28" s="86" t="s">
        <v>202</v>
      </c>
    </row>
    <row r="29" spans="1:5" ht="15.75" customHeight="1" x14ac:dyDescent="0.25">
      <c r="A29" s="52" t="s">
        <v>58</v>
      </c>
      <c r="B29" s="85">
        <v>0.20300000000000001</v>
      </c>
      <c r="C29" s="85">
        <v>0.95</v>
      </c>
      <c r="D29" s="86">
        <v>61.740822968925912</v>
      </c>
      <c r="E29" s="86" t="s">
        <v>202</v>
      </c>
    </row>
    <row r="30" spans="1:5" ht="15.75" customHeight="1" x14ac:dyDescent="0.25">
      <c r="A30" s="52" t="s">
        <v>67</v>
      </c>
      <c r="B30" s="85">
        <v>6.4000000000000001E-2</v>
      </c>
      <c r="C30" s="85">
        <v>0.95</v>
      </c>
      <c r="D30" s="86">
        <v>0.95248474388694404</v>
      </c>
      <c r="E30" s="86" t="s">
        <v>202</v>
      </c>
    </row>
    <row r="31" spans="1:5" ht="15.75" customHeight="1" x14ac:dyDescent="0.25">
      <c r="A31" s="52" t="s">
        <v>28</v>
      </c>
      <c r="B31" s="85">
        <v>0.09</v>
      </c>
      <c r="C31" s="85">
        <v>0.95</v>
      </c>
      <c r="D31" s="86">
        <v>0.42565395189955457</v>
      </c>
      <c r="E31" s="86" t="s">
        <v>202</v>
      </c>
    </row>
    <row r="32" spans="1:5" ht="15.75" customHeight="1" x14ac:dyDescent="0.25">
      <c r="A32" s="52" t="s">
        <v>83</v>
      </c>
      <c r="B32" s="85">
        <v>0.62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0.40100000000000002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0.11599999999999999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0.63100000000000001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5.5E-2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1E-3</v>
      </c>
      <c r="C37" s="85">
        <v>0.95</v>
      </c>
      <c r="D37" s="86">
        <v>5.316248687042834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0.44961725866312918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0.17718869220000003</v>
      </c>
      <c r="C3" s="26">
        <f>frac_mam_1_5months * 2.6</f>
        <v>0.17718869220000003</v>
      </c>
      <c r="D3" s="26">
        <f>frac_mam_6_11months * 2.6</f>
        <v>0.36310454180000001</v>
      </c>
      <c r="E3" s="26">
        <f>frac_mam_12_23months * 2.6</f>
        <v>0.17975137439999997</v>
      </c>
      <c r="F3" s="26">
        <f>frac_mam_24_59months * 2.6</f>
        <v>6.995268498399998E-2</v>
      </c>
    </row>
    <row r="4" spans="1:6" ht="15.75" customHeight="1" x14ac:dyDescent="0.25">
      <c r="A4" s="3" t="s">
        <v>66</v>
      </c>
      <c r="B4" s="26">
        <f>frac_sam_1month * 2.6</f>
        <v>7.8112182200000005E-2</v>
      </c>
      <c r="C4" s="26">
        <f>frac_sam_1_5months * 2.6</f>
        <v>7.8112182200000005E-2</v>
      </c>
      <c r="D4" s="26">
        <f>frac_sam_6_11months * 2.6</f>
        <v>6.8367122200000005E-2</v>
      </c>
      <c r="E4" s="26">
        <f>frac_sam_12_23months * 2.6</f>
        <v>8.5147597600000013E-2</v>
      </c>
      <c r="F4" s="26">
        <f>frac_sam_24_59months * 2.6</f>
        <v>1.0197656282666667E-2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261573.64523000002</v>
      </c>
      <c r="C2" s="78">
        <v>403252</v>
      </c>
      <c r="D2" s="78">
        <v>649910</v>
      </c>
      <c r="E2" s="78">
        <v>6137</v>
      </c>
      <c r="F2" s="78">
        <v>5548</v>
      </c>
      <c r="G2" s="22">
        <f t="shared" ref="G2:G40" si="0">C2+D2+E2+F2</f>
        <v>1064847</v>
      </c>
      <c r="H2" s="22">
        <f t="shared" ref="H2:H40" si="1">(B2 + stillbirth*B2/(1000-stillbirth))/(1-abortion)</f>
        <v>311306.02850831783</v>
      </c>
      <c r="I2" s="22">
        <f>G2-H2</f>
        <v>753540.97149168211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264608.64666666667</v>
      </c>
      <c r="C3" s="78">
        <v>417000</v>
      </c>
      <c r="D3" s="78">
        <v>662000</v>
      </c>
      <c r="E3" s="78">
        <v>6100</v>
      </c>
      <c r="F3" s="78">
        <v>5600</v>
      </c>
      <c r="G3" s="22">
        <f t="shared" si="0"/>
        <v>1090700</v>
      </c>
      <c r="H3" s="22">
        <f t="shared" si="1"/>
        <v>314918.06764526898</v>
      </c>
      <c r="I3" s="22">
        <f t="shared" ref="I3:I15" si="3">G3-H3</f>
        <v>775781.93235473102</v>
      </c>
    </row>
    <row r="4" spans="1:9" ht="15.75" customHeight="1" x14ac:dyDescent="0.25">
      <c r="A4" s="7">
        <f t="shared" si="2"/>
        <v>2019</v>
      </c>
      <c r="B4" s="77">
        <v>267532.12333333335</v>
      </c>
      <c r="C4" s="78">
        <v>432000</v>
      </c>
      <c r="D4" s="78">
        <v>676000</v>
      </c>
      <c r="E4" s="78">
        <v>5900</v>
      </c>
      <c r="F4" s="78">
        <v>5700</v>
      </c>
      <c r="G4" s="22">
        <f t="shared" si="0"/>
        <v>1119600</v>
      </c>
      <c r="H4" s="22">
        <f t="shared" si="1"/>
        <v>318397.37806943845</v>
      </c>
      <c r="I4" s="22">
        <f t="shared" si="3"/>
        <v>801202.62193056149</v>
      </c>
    </row>
    <row r="5" spans="1:9" ht="15.75" customHeight="1" x14ac:dyDescent="0.25">
      <c r="A5" s="7">
        <f t="shared" si="2"/>
        <v>2020</v>
      </c>
      <c r="B5" s="77">
        <v>270384</v>
      </c>
      <c r="C5" s="78">
        <v>446000</v>
      </c>
      <c r="D5" s="78">
        <v>693000</v>
      </c>
      <c r="E5" s="78">
        <v>5900</v>
      </c>
      <c r="F5" s="78">
        <v>5600</v>
      </c>
      <c r="G5" s="22">
        <f t="shared" si="0"/>
        <v>1150500</v>
      </c>
      <c r="H5" s="22">
        <f t="shared" si="1"/>
        <v>321791.47535364644</v>
      </c>
      <c r="I5" s="22">
        <f t="shared" si="3"/>
        <v>828708.52464635356</v>
      </c>
    </row>
    <row r="6" spans="1:9" ht="15.75" customHeight="1" x14ac:dyDescent="0.25">
      <c r="A6" s="7">
        <f t="shared" si="2"/>
        <v>2021</v>
      </c>
      <c r="B6" s="77">
        <v>274072.69099999999</v>
      </c>
      <c r="C6" s="78">
        <v>460000</v>
      </c>
      <c r="D6" s="78">
        <v>711000</v>
      </c>
      <c r="E6" s="78">
        <v>5900</v>
      </c>
      <c r="F6" s="78">
        <v>5600</v>
      </c>
      <c r="G6" s="22">
        <f t="shared" si="0"/>
        <v>1182500</v>
      </c>
      <c r="H6" s="22">
        <f t="shared" si="1"/>
        <v>326181.48851645831</v>
      </c>
      <c r="I6" s="22">
        <f t="shared" si="3"/>
        <v>856318.51148354169</v>
      </c>
    </row>
    <row r="7" spans="1:9" ht="15.75" customHeight="1" x14ac:dyDescent="0.25">
      <c r="A7" s="7">
        <f t="shared" si="2"/>
        <v>2022</v>
      </c>
      <c r="B7" s="77">
        <v>277662.17040000006</v>
      </c>
      <c r="C7" s="78">
        <v>473000</v>
      </c>
      <c r="D7" s="78">
        <v>731000</v>
      </c>
      <c r="E7" s="78">
        <v>6000</v>
      </c>
      <c r="F7" s="78">
        <v>5600</v>
      </c>
      <c r="G7" s="22">
        <f t="shared" si="0"/>
        <v>1215600</v>
      </c>
      <c r="H7" s="22">
        <f t="shared" si="1"/>
        <v>330453.42721060273</v>
      </c>
      <c r="I7" s="22">
        <f t="shared" si="3"/>
        <v>885146.57278939732</v>
      </c>
    </row>
    <row r="8" spans="1:9" ht="15.75" customHeight="1" x14ac:dyDescent="0.25">
      <c r="A8" s="7">
        <f t="shared" si="2"/>
        <v>2023</v>
      </c>
      <c r="B8" s="77">
        <v>281245.28340000001</v>
      </c>
      <c r="C8" s="78">
        <v>486000</v>
      </c>
      <c r="D8" s="78">
        <v>753000</v>
      </c>
      <c r="E8" s="78">
        <v>6100</v>
      </c>
      <c r="F8" s="78">
        <v>5600</v>
      </c>
      <c r="G8" s="22">
        <f t="shared" si="0"/>
        <v>1250700</v>
      </c>
      <c r="H8" s="22">
        <f t="shared" si="1"/>
        <v>334717.78907605633</v>
      </c>
      <c r="I8" s="22">
        <f t="shared" si="3"/>
        <v>915982.21092394367</v>
      </c>
    </row>
    <row r="9" spans="1:9" ht="15.75" customHeight="1" x14ac:dyDescent="0.25">
      <c r="A9" s="7">
        <f t="shared" si="2"/>
        <v>2024</v>
      </c>
      <c r="B9" s="77">
        <v>284756.22840000002</v>
      </c>
      <c r="C9" s="78">
        <v>499000</v>
      </c>
      <c r="D9" s="78">
        <v>777000</v>
      </c>
      <c r="E9" s="78">
        <v>6300</v>
      </c>
      <c r="F9" s="78">
        <v>5500</v>
      </c>
      <c r="G9" s="22">
        <f t="shared" si="0"/>
        <v>1287800</v>
      </c>
      <c r="H9" s="22">
        <f t="shared" si="1"/>
        <v>338896.26180904167</v>
      </c>
      <c r="I9" s="22">
        <f t="shared" si="3"/>
        <v>948903.73819095828</v>
      </c>
    </row>
    <row r="10" spans="1:9" ht="15.75" customHeight="1" x14ac:dyDescent="0.25">
      <c r="A10" s="7">
        <f t="shared" si="2"/>
        <v>2025</v>
      </c>
      <c r="B10" s="77">
        <v>288193.05300000001</v>
      </c>
      <c r="C10" s="78">
        <v>510000</v>
      </c>
      <c r="D10" s="78">
        <v>802000</v>
      </c>
      <c r="E10" s="78">
        <v>6400</v>
      </c>
      <c r="F10" s="78">
        <v>5500</v>
      </c>
      <c r="G10" s="22">
        <f t="shared" si="0"/>
        <v>1323900</v>
      </c>
      <c r="H10" s="22">
        <f t="shared" si="1"/>
        <v>342986.52180432872</v>
      </c>
      <c r="I10" s="22">
        <f t="shared" si="3"/>
        <v>980913.47819567122</v>
      </c>
    </row>
    <row r="11" spans="1:9" ht="15.75" customHeight="1" x14ac:dyDescent="0.25">
      <c r="A11" s="7">
        <f t="shared" si="2"/>
        <v>2026</v>
      </c>
      <c r="B11" s="77">
        <v>292184.2</v>
      </c>
      <c r="C11" s="78">
        <v>520000</v>
      </c>
      <c r="D11" s="78">
        <v>827000</v>
      </c>
      <c r="E11" s="78">
        <v>6600</v>
      </c>
      <c r="F11" s="78">
        <v>5400</v>
      </c>
      <c r="G11" s="22">
        <f t="shared" si="0"/>
        <v>1359000</v>
      </c>
      <c r="H11" s="22">
        <f t="shared" si="1"/>
        <v>347736.49621658423</v>
      </c>
      <c r="I11" s="22">
        <f t="shared" si="3"/>
        <v>1011263.5037834158</v>
      </c>
    </row>
    <row r="12" spans="1:9" ht="15.75" customHeight="1" x14ac:dyDescent="0.25">
      <c r="A12" s="7">
        <f t="shared" si="2"/>
        <v>2027</v>
      </c>
      <c r="B12" s="77">
        <v>296151.68520000001</v>
      </c>
      <c r="C12" s="78">
        <v>529000</v>
      </c>
      <c r="D12" s="78">
        <v>854000</v>
      </c>
      <c r="E12" s="78">
        <v>6900</v>
      </c>
      <c r="F12" s="78">
        <v>5300</v>
      </c>
      <c r="G12" s="22">
        <f t="shared" si="0"/>
        <v>1395200</v>
      </c>
      <c r="H12" s="22">
        <f t="shared" si="1"/>
        <v>352458.3100663377</v>
      </c>
      <c r="I12" s="22">
        <f t="shared" si="3"/>
        <v>1042741.6899336623</v>
      </c>
    </row>
    <row r="13" spans="1:9" ht="15.75" customHeight="1" x14ac:dyDescent="0.25">
      <c r="A13" s="7">
        <f t="shared" si="2"/>
        <v>2028</v>
      </c>
      <c r="B13" s="77">
        <v>300063.28839999996</v>
      </c>
      <c r="C13" s="78">
        <v>537000</v>
      </c>
      <c r="D13" s="78">
        <v>881000</v>
      </c>
      <c r="E13" s="78">
        <v>7200</v>
      </c>
      <c r="F13" s="78">
        <v>5200</v>
      </c>
      <c r="G13" s="22">
        <f t="shared" si="0"/>
        <v>1430400</v>
      </c>
      <c r="H13" s="22">
        <f t="shared" si="1"/>
        <v>357113.61720258108</v>
      </c>
      <c r="I13" s="22">
        <f t="shared" si="3"/>
        <v>1073286.3827974189</v>
      </c>
    </row>
    <row r="14" spans="1:9" ht="15.75" customHeight="1" x14ac:dyDescent="0.25">
      <c r="A14" s="7">
        <f t="shared" si="2"/>
        <v>2029</v>
      </c>
      <c r="B14" s="77">
        <v>303946.97059999994</v>
      </c>
      <c r="C14" s="78">
        <v>545000</v>
      </c>
      <c r="D14" s="78">
        <v>907000</v>
      </c>
      <c r="E14" s="78">
        <v>7500</v>
      </c>
      <c r="F14" s="78">
        <v>5100</v>
      </c>
      <c r="G14" s="22">
        <f t="shared" si="0"/>
        <v>1464600</v>
      </c>
      <c r="H14" s="22">
        <f t="shared" si="1"/>
        <v>361735.69478462258</v>
      </c>
      <c r="I14" s="22">
        <f t="shared" si="3"/>
        <v>1102864.3052153774</v>
      </c>
    </row>
    <row r="15" spans="1:9" ht="15.75" customHeight="1" x14ac:dyDescent="0.25">
      <c r="A15" s="7">
        <f t="shared" si="2"/>
        <v>2030</v>
      </c>
      <c r="B15" s="77">
        <v>307771.04399999999</v>
      </c>
      <c r="C15" s="78">
        <v>553000</v>
      </c>
      <c r="D15" s="78">
        <v>932000</v>
      </c>
      <c r="E15" s="78">
        <v>7700</v>
      </c>
      <c r="F15" s="78">
        <v>5000</v>
      </c>
      <c r="G15" s="22">
        <f t="shared" si="0"/>
        <v>1497700</v>
      </c>
      <c r="H15" s="22">
        <f t="shared" si="1"/>
        <v>366286.83028541639</v>
      </c>
      <c r="I15" s="22">
        <f t="shared" si="3"/>
        <v>1131413.1697145835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130.91404184012777</v>
      </c>
      <c r="I17" s="22">
        <f t="shared" si="4"/>
        <v>-130.91404184012777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8.8994661250000023E-2</v>
      </c>
    </row>
    <row r="4" spans="1:8" ht="15.75" customHeight="1" x14ac:dyDescent="0.25">
      <c r="B4" s="24" t="s">
        <v>7</v>
      </c>
      <c r="C4" s="79">
        <v>0.20409660031189061</v>
      </c>
    </row>
    <row r="5" spans="1:8" ht="15.75" customHeight="1" x14ac:dyDescent="0.25">
      <c r="B5" s="24" t="s">
        <v>8</v>
      </c>
      <c r="C5" s="79">
        <v>9.2180580793687975E-2</v>
      </c>
    </row>
    <row r="6" spans="1:8" ht="15.75" customHeight="1" x14ac:dyDescent="0.25">
      <c r="B6" s="24" t="s">
        <v>10</v>
      </c>
      <c r="C6" s="79">
        <v>0.14111392242005485</v>
      </c>
    </row>
    <row r="7" spans="1:8" ht="15.75" customHeight="1" x14ac:dyDescent="0.25">
      <c r="B7" s="24" t="s">
        <v>13</v>
      </c>
      <c r="C7" s="79">
        <v>0.15339590846904011</v>
      </c>
    </row>
    <row r="8" spans="1:8" ht="15.75" customHeight="1" x14ac:dyDescent="0.25">
      <c r="B8" s="24" t="s">
        <v>14</v>
      </c>
      <c r="C8" s="79">
        <v>4.6136807292068054E-3</v>
      </c>
    </row>
    <row r="9" spans="1:8" ht="15.75" customHeight="1" x14ac:dyDescent="0.25">
      <c r="B9" s="24" t="s">
        <v>27</v>
      </c>
      <c r="C9" s="79">
        <v>6.5971772782496024E-2</v>
      </c>
    </row>
    <row r="10" spans="1:8" ht="15.75" customHeight="1" x14ac:dyDescent="0.25">
      <c r="B10" s="24" t="s">
        <v>15</v>
      </c>
      <c r="C10" s="79">
        <v>0.24963287324362371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0.20940579776117399</v>
      </c>
      <c r="D14" s="79">
        <v>0.20940579776117399</v>
      </c>
      <c r="E14" s="79">
        <v>0.13627468035204299</v>
      </c>
      <c r="F14" s="79">
        <v>0.13627468035204299</v>
      </c>
    </row>
    <row r="15" spans="1:8" ht="15.75" customHeight="1" x14ac:dyDescent="0.25">
      <c r="B15" s="24" t="s">
        <v>16</v>
      </c>
      <c r="C15" s="79">
        <v>0.14918266129455701</v>
      </c>
      <c r="D15" s="79">
        <v>0.14918266129455701</v>
      </c>
      <c r="E15" s="79">
        <v>8.74123315505662E-2</v>
      </c>
      <c r="F15" s="79">
        <v>8.74123315505662E-2</v>
      </c>
    </row>
    <row r="16" spans="1:8" ht="15.75" customHeight="1" x14ac:dyDescent="0.25">
      <c r="B16" s="24" t="s">
        <v>17</v>
      </c>
      <c r="C16" s="79">
        <v>3.25116425058916E-2</v>
      </c>
      <c r="D16" s="79">
        <v>3.25116425058916E-2</v>
      </c>
      <c r="E16" s="79">
        <v>2.2822519749911899E-2</v>
      </c>
      <c r="F16" s="79">
        <v>2.2822519749911899E-2</v>
      </c>
    </row>
    <row r="17" spans="1:8" ht="15.75" customHeight="1" x14ac:dyDescent="0.25">
      <c r="B17" s="24" t="s">
        <v>18</v>
      </c>
      <c r="C17" s="79">
        <v>7.9134843803704592E-3</v>
      </c>
      <c r="D17" s="79">
        <v>7.9134843803704592E-3</v>
      </c>
      <c r="E17" s="79">
        <v>1.4467269469169699E-2</v>
      </c>
      <c r="F17" s="79">
        <v>1.4467269469169699E-2</v>
      </c>
    </row>
    <row r="18" spans="1:8" ht="15.75" customHeight="1" x14ac:dyDescent="0.25">
      <c r="B18" s="24" t="s">
        <v>19</v>
      </c>
      <c r="C18" s="79">
        <v>0.26745250623428102</v>
      </c>
      <c r="D18" s="79">
        <v>0.26745250623428102</v>
      </c>
      <c r="E18" s="79">
        <v>0.41148514665360703</v>
      </c>
      <c r="F18" s="79">
        <v>0.41148514665360703</v>
      </c>
    </row>
    <row r="19" spans="1:8" ht="15.75" customHeight="1" x14ac:dyDescent="0.25">
      <c r="B19" s="24" t="s">
        <v>20</v>
      </c>
      <c r="C19" s="79">
        <v>2.9959277341875899E-2</v>
      </c>
      <c r="D19" s="79">
        <v>2.9959277341875899E-2</v>
      </c>
      <c r="E19" s="79">
        <v>2.3209207181860099E-2</v>
      </c>
      <c r="F19" s="79">
        <v>2.3209207181860099E-2</v>
      </c>
    </row>
    <row r="20" spans="1:8" ht="15.75" customHeight="1" x14ac:dyDescent="0.25">
      <c r="B20" s="24" t="s">
        <v>21</v>
      </c>
      <c r="C20" s="79">
        <v>1.9599076059928101E-2</v>
      </c>
      <c r="D20" s="79">
        <v>1.9599076059928101E-2</v>
      </c>
      <c r="E20" s="79">
        <v>8.8899885337580201E-3</v>
      </c>
      <c r="F20" s="79">
        <v>8.8899885337580201E-3</v>
      </c>
    </row>
    <row r="21" spans="1:8" ht="15.75" customHeight="1" x14ac:dyDescent="0.25">
      <c r="B21" s="24" t="s">
        <v>22</v>
      </c>
      <c r="C21" s="79">
        <v>2.54999864013115E-2</v>
      </c>
      <c r="D21" s="79">
        <v>2.54999864013115E-2</v>
      </c>
      <c r="E21" s="79">
        <v>5.6455085790165303E-2</v>
      </c>
      <c r="F21" s="79">
        <v>5.6455085790165303E-2</v>
      </c>
    </row>
    <row r="22" spans="1:8" ht="15.75" customHeight="1" x14ac:dyDescent="0.25">
      <c r="B22" s="24" t="s">
        <v>23</v>
      </c>
      <c r="C22" s="79">
        <v>0.25847556802061045</v>
      </c>
      <c r="D22" s="79">
        <v>0.25847556802061045</v>
      </c>
      <c r="E22" s="79">
        <v>0.23898377071891874</v>
      </c>
      <c r="F22" s="79">
        <v>0.23898377071891874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8.6800000000000002E-2</v>
      </c>
    </row>
    <row r="27" spans="1:8" ht="15.75" customHeight="1" x14ac:dyDescent="0.25">
      <c r="B27" s="24" t="s">
        <v>39</v>
      </c>
      <c r="C27" s="79">
        <v>8.6E-3</v>
      </c>
    </row>
    <row r="28" spans="1:8" ht="15.75" customHeight="1" x14ac:dyDescent="0.25">
      <c r="B28" s="24" t="s">
        <v>40</v>
      </c>
      <c r="C28" s="79">
        <v>0.1532</v>
      </c>
    </row>
    <row r="29" spans="1:8" ht="15.75" customHeight="1" x14ac:dyDescent="0.25">
      <c r="B29" s="24" t="s">
        <v>41</v>
      </c>
      <c r="C29" s="79">
        <v>0.16510000000000002</v>
      </c>
    </row>
    <row r="30" spans="1:8" ht="15.75" customHeight="1" x14ac:dyDescent="0.25">
      <c r="B30" s="24" t="s">
        <v>42</v>
      </c>
      <c r="C30" s="79">
        <v>0.10310000000000001</v>
      </c>
    </row>
    <row r="31" spans="1:8" ht="15.75" customHeight="1" x14ac:dyDescent="0.25">
      <c r="B31" s="24" t="s">
        <v>43</v>
      </c>
      <c r="C31" s="79">
        <v>0.10619999999999999</v>
      </c>
    </row>
    <row r="32" spans="1:8" ht="15.75" customHeight="1" x14ac:dyDescent="0.25">
      <c r="B32" s="24" t="s">
        <v>44</v>
      </c>
      <c r="C32" s="79">
        <v>1.8200000000000001E-2</v>
      </c>
    </row>
    <row r="33" spans="2:3" ht="15.75" customHeight="1" x14ac:dyDescent="0.25">
      <c r="B33" s="24" t="s">
        <v>45</v>
      </c>
      <c r="C33" s="79">
        <v>8.2699999999999996E-2</v>
      </c>
    </row>
    <row r="34" spans="2:3" ht="15.75" customHeight="1" x14ac:dyDescent="0.25">
      <c r="B34" s="24" t="s">
        <v>46</v>
      </c>
      <c r="C34" s="79">
        <v>0.27609999999776486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0.68717772617103579</v>
      </c>
      <c r="D2" s="80">
        <v>0.68717772617103579</v>
      </c>
      <c r="E2" s="80">
        <v>0.60971606051180427</v>
      </c>
      <c r="F2" s="80">
        <v>0.46851275186870794</v>
      </c>
      <c r="G2" s="80">
        <v>0.35175377298411598</v>
      </c>
    </row>
    <row r="3" spans="1:15" ht="15.75" customHeight="1" x14ac:dyDescent="0.25">
      <c r="A3" s="5"/>
      <c r="B3" s="11" t="s">
        <v>118</v>
      </c>
      <c r="C3" s="80">
        <v>0.20675260075204127</v>
      </c>
      <c r="D3" s="80">
        <v>0.20675260075204127</v>
      </c>
      <c r="E3" s="80">
        <v>0.21754190047720678</v>
      </c>
      <c r="F3" s="80">
        <v>0.29207284318623711</v>
      </c>
      <c r="G3" s="80">
        <v>0.31488439734555429</v>
      </c>
    </row>
    <row r="4" spans="1:15" ht="15.75" customHeight="1" x14ac:dyDescent="0.25">
      <c r="A4" s="5"/>
      <c r="B4" s="11" t="s">
        <v>116</v>
      </c>
      <c r="C4" s="81">
        <v>6.1621429120879118E-2</v>
      </c>
      <c r="D4" s="81">
        <v>6.1621429120879118E-2</v>
      </c>
      <c r="E4" s="81">
        <v>0.11112060989010988</v>
      </c>
      <c r="F4" s="81">
        <v>0.16466054010989015</v>
      </c>
      <c r="G4" s="81">
        <v>0.20910878406593406</v>
      </c>
    </row>
    <row r="5" spans="1:15" ht="15.75" customHeight="1" x14ac:dyDescent="0.25">
      <c r="A5" s="5"/>
      <c r="B5" s="11" t="s">
        <v>119</v>
      </c>
      <c r="C5" s="81">
        <v>4.4448243956043965E-2</v>
      </c>
      <c r="D5" s="81">
        <v>4.4448243956043965E-2</v>
      </c>
      <c r="E5" s="81">
        <v>6.1621429120879118E-2</v>
      </c>
      <c r="F5" s="81">
        <v>7.4753864835164857E-2</v>
      </c>
      <c r="G5" s="81">
        <v>0.12425304560439562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0.72742471809944742</v>
      </c>
      <c r="D8" s="80">
        <v>0.72742471809944742</v>
      </c>
      <c r="E8" s="80">
        <v>0.64892623236276858</v>
      </c>
      <c r="F8" s="80">
        <v>0.67184243698113222</v>
      </c>
      <c r="G8" s="80">
        <v>0.82700088132300265</v>
      </c>
    </row>
    <row r="9" spans="1:15" ht="15.75" customHeight="1" x14ac:dyDescent="0.25">
      <c r="B9" s="7" t="s">
        <v>121</v>
      </c>
      <c r="C9" s="80">
        <v>0.17438263790055245</v>
      </c>
      <c r="D9" s="80">
        <v>0.17438263790055245</v>
      </c>
      <c r="E9" s="80">
        <v>0.18512312763723152</v>
      </c>
      <c r="F9" s="80">
        <v>0.22627334301886792</v>
      </c>
      <c r="G9" s="80">
        <v>0.14217206434366392</v>
      </c>
    </row>
    <row r="10" spans="1:15" ht="15.75" customHeight="1" x14ac:dyDescent="0.25">
      <c r="B10" s="7" t="s">
        <v>122</v>
      </c>
      <c r="C10" s="81">
        <v>6.8149497000000003E-2</v>
      </c>
      <c r="D10" s="81">
        <v>6.8149497000000003E-2</v>
      </c>
      <c r="E10" s="81">
        <v>0.13965559299999999</v>
      </c>
      <c r="F10" s="81">
        <v>6.9135143999999982E-2</v>
      </c>
      <c r="G10" s="81">
        <v>2.6904878839999993E-2</v>
      </c>
    </row>
    <row r="11" spans="1:15" ht="15.75" customHeight="1" x14ac:dyDescent="0.25">
      <c r="B11" s="7" t="s">
        <v>123</v>
      </c>
      <c r="C11" s="81">
        <v>3.0043147000000003E-2</v>
      </c>
      <c r="D11" s="81">
        <v>3.0043147000000003E-2</v>
      </c>
      <c r="E11" s="81">
        <v>2.6295047000000002E-2</v>
      </c>
      <c r="F11" s="81">
        <v>3.2749076000000002E-2</v>
      </c>
      <c r="G11" s="81">
        <v>3.9221754933333334E-3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0.88048884075</v>
      </c>
      <c r="D14" s="82">
        <v>0.87291714786499996</v>
      </c>
      <c r="E14" s="82">
        <v>0.87291714786499996</v>
      </c>
      <c r="F14" s="82">
        <v>0.76156848676900002</v>
      </c>
      <c r="G14" s="82">
        <v>0.76156848676900002</v>
      </c>
      <c r="H14" s="83">
        <v>0.61399999999999999</v>
      </c>
      <c r="I14" s="83">
        <v>0.61399999999999999</v>
      </c>
      <c r="J14" s="83">
        <v>0.61399999999999999</v>
      </c>
      <c r="K14" s="83">
        <v>0.61399999999999999</v>
      </c>
      <c r="L14" s="83">
        <v>0.41080108730100001</v>
      </c>
      <c r="M14" s="83">
        <v>0.308136691854</v>
      </c>
      <c r="N14" s="83">
        <v>0.30352350900650005</v>
      </c>
      <c r="O14" s="83">
        <v>0.35682129644549998</v>
      </c>
    </row>
    <row r="15" spans="1:15" ht="15.75" customHeight="1" x14ac:dyDescent="0.25">
      <c r="B15" s="16" t="s">
        <v>68</v>
      </c>
      <c r="C15" s="80">
        <f>iron_deficiency_anaemia*C14</f>
        <v>0.34584589710258046</v>
      </c>
      <c r="D15" s="80">
        <f t="shared" ref="D15:O15" si="0">iron_deficiency_anaemia*D14</f>
        <v>0.34287182315955639</v>
      </c>
      <c r="E15" s="80">
        <f t="shared" si="0"/>
        <v>0.34287182315955639</v>
      </c>
      <c r="F15" s="80">
        <f t="shared" si="0"/>
        <v>0.29913534882205661</v>
      </c>
      <c r="G15" s="80">
        <f t="shared" si="0"/>
        <v>0.29913534882205661</v>
      </c>
      <c r="H15" s="80">
        <f t="shared" si="0"/>
        <v>0.24117214323818723</v>
      </c>
      <c r="I15" s="80">
        <f t="shared" si="0"/>
        <v>0.24117214323818723</v>
      </c>
      <c r="J15" s="80">
        <f t="shared" si="0"/>
        <v>0.24117214323818723</v>
      </c>
      <c r="K15" s="80">
        <f t="shared" si="0"/>
        <v>0.24117214323818723</v>
      </c>
      <c r="L15" s="80">
        <f t="shared" si="0"/>
        <v>0.16135794571491829</v>
      </c>
      <c r="M15" s="80">
        <f t="shared" si="0"/>
        <v>0.1210325511152346</v>
      </c>
      <c r="N15" s="80">
        <f t="shared" si="0"/>
        <v>0.11922054591249648</v>
      </c>
      <c r="O15" s="80">
        <f t="shared" si="0"/>
        <v>0.14015530426187262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0.7609999999999999</v>
      </c>
      <c r="D2" s="81">
        <v>0.56000000000000005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0.17</v>
      </c>
      <c r="D3" s="81">
        <v>0.26700000000000002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5.5999999999999994E-2</v>
      </c>
      <c r="D4" s="81">
        <v>0.16</v>
      </c>
      <c r="E4" s="81">
        <v>0.98499999999999999</v>
      </c>
      <c r="F4" s="81">
        <v>0.82</v>
      </c>
      <c r="G4" s="81">
        <v>0</v>
      </c>
    </row>
    <row r="5" spans="1:7" x14ac:dyDescent="0.25">
      <c r="B5" s="43" t="s">
        <v>169</v>
      </c>
      <c r="C5" s="80">
        <f>1-SUM(C2:C4)</f>
        <v>1.3000000000000123E-2</v>
      </c>
      <c r="D5" s="80">
        <f>1-SUM(D2:D4)</f>
        <v>1.2999999999999901E-2</v>
      </c>
      <c r="E5" s="80">
        <f>1-SUM(E2:E4)</f>
        <v>1.5000000000000013E-2</v>
      </c>
      <c r="F5" s="80">
        <f>1-SUM(F2:F4)</f>
        <v>0.18000000000000005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0.24789999999999998</v>
      </c>
      <c r="D2" s="144">
        <v>0.2432</v>
      </c>
      <c r="E2" s="144">
        <v>0.23853000000000002</v>
      </c>
      <c r="F2" s="144">
        <v>0.23382999999999998</v>
      </c>
      <c r="G2" s="144">
        <v>0.22896</v>
      </c>
      <c r="H2" s="144">
        <v>0.22442000000000001</v>
      </c>
      <c r="I2" s="144">
        <v>0.21995000000000001</v>
      </c>
      <c r="J2" s="144">
        <v>0.21556999999999998</v>
      </c>
      <c r="K2" s="144">
        <v>0.21129000000000001</v>
      </c>
      <c r="L2" s="144">
        <v>0.20710000000000001</v>
      </c>
      <c r="M2" s="144">
        <v>0.20301</v>
      </c>
      <c r="N2" s="144">
        <v>0.19899</v>
      </c>
      <c r="O2" s="144">
        <v>0.19506000000000001</v>
      </c>
      <c r="P2" s="144">
        <v>0.19120999999999999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0.10015</v>
      </c>
      <c r="D4" s="144">
        <v>0.10135</v>
      </c>
      <c r="E4" s="144">
        <v>0.10256999999999999</v>
      </c>
      <c r="F4" s="144">
        <v>0.10378999999999999</v>
      </c>
      <c r="G4" s="144">
        <v>0.10499</v>
      </c>
      <c r="H4" s="144">
        <v>0.10624</v>
      </c>
      <c r="I4" s="144">
        <v>0.10750999999999999</v>
      </c>
      <c r="J4" s="144">
        <v>0.10880000000000001</v>
      </c>
      <c r="K4" s="144">
        <v>0.1101</v>
      </c>
      <c r="L4" s="144">
        <v>0.11143</v>
      </c>
      <c r="M4" s="144">
        <v>0.11277</v>
      </c>
      <c r="N4" s="144">
        <v>0.11413999999999999</v>
      </c>
      <c r="O4" s="144">
        <v>0.11552</v>
      </c>
      <c r="P4" s="144">
        <v>0.11692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0.30793221158860695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0.24117214323818723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0.13173924975630366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0.59350000000000003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0.875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66.760000000000005</v>
      </c>
      <c r="D13" s="143">
        <v>63.872999999999998</v>
      </c>
      <c r="E13" s="143">
        <v>61.21</v>
      </c>
      <c r="F13" s="143">
        <v>58.752000000000002</v>
      </c>
      <c r="G13" s="143">
        <v>56.457999999999998</v>
      </c>
      <c r="H13" s="143">
        <v>54.319000000000003</v>
      </c>
      <c r="I13" s="143">
        <v>52.31</v>
      </c>
      <c r="J13" s="143">
        <v>50.406999999999996</v>
      </c>
      <c r="K13" s="143">
        <v>48.606000000000002</v>
      </c>
      <c r="L13" s="143">
        <v>46.896999999999998</v>
      </c>
      <c r="M13" s="143">
        <v>45.261000000000003</v>
      </c>
      <c r="N13" s="143">
        <v>43.701999999999998</v>
      </c>
      <c r="O13" s="143">
        <v>42.220999999999997</v>
      </c>
      <c r="P13" s="143">
        <v>40.79</v>
      </c>
    </row>
    <row r="14" spans="1:16" x14ac:dyDescent="0.25">
      <c r="B14" s="16" t="s">
        <v>170</v>
      </c>
      <c r="C14" s="143">
        <f>maternal_mortality</f>
        <v>1.24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0.55100000000000005</v>
      </c>
      <c r="E2" s="92">
        <f>food_insecure</f>
        <v>0.55100000000000005</v>
      </c>
      <c r="F2" s="92">
        <f>food_insecure</f>
        <v>0.55100000000000005</v>
      </c>
      <c r="G2" s="92">
        <f>food_insecure</f>
        <v>0.55100000000000005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0.55100000000000005</v>
      </c>
      <c r="F5" s="92">
        <f>food_insecure</f>
        <v>0.55100000000000005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0.12698571571134615</v>
      </c>
      <c r="D7" s="92">
        <f>diarrhoea_1_5mo/26</f>
        <v>0.13639080541038462</v>
      </c>
      <c r="E7" s="92">
        <f>diarrhoea_6_11mo/26</f>
        <v>0.13639080541038462</v>
      </c>
      <c r="F7" s="92">
        <f>diarrhoea_12_23mo/26</f>
        <v>0.10052646618730769</v>
      </c>
      <c r="G7" s="92">
        <f>diarrhoea_24_59mo/26</f>
        <v>0.10052646618730769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0.55100000000000005</v>
      </c>
      <c r="F8" s="92">
        <f>food_insecure</f>
        <v>0.55100000000000005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0.48499999999999999</v>
      </c>
      <c r="E9" s="92">
        <f>IF(ISBLANK(comm_deliv), frac_children_health_facility,1)</f>
        <v>0.48499999999999999</v>
      </c>
      <c r="F9" s="92">
        <f>IF(ISBLANK(comm_deliv), frac_children_health_facility,1)</f>
        <v>0.48499999999999999</v>
      </c>
      <c r="G9" s="92">
        <f>IF(ISBLANK(comm_deliv), frac_children_health_facility,1)</f>
        <v>0.48499999999999999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0.12698571571134615</v>
      </c>
      <c r="D11" s="92">
        <f>diarrhoea_1_5mo/26</f>
        <v>0.13639080541038462</v>
      </c>
      <c r="E11" s="92">
        <f>diarrhoea_6_11mo/26</f>
        <v>0.13639080541038462</v>
      </c>
      <c r="F11" s="92">
        <f>diarrhoea_12_23mo/26</f>
        <v>0.10052646618730769</v>
      </c>
      <c r="G11" s="92">
        <f>diarrhoea_24_59mo/26</f>
        <v>0.10052646618730769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0.55100000000000005</v>
      </c>
      <c r="I14" s="92">
        <f>food_insecure</f>
        <v>0.55100000000000005</v>
      </c>
      <c r="J14" s="92">
        <f>food_insecure</f>
        <v>0.55100000000000005</v>
      </c>
      <c r="K14" s="92">
        <f>food_insecure</f>
        <v>0.55100000000000005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0.57200000000000006</v>
      </c>
      <c r="I17" s="92">
        <f>frac_PW_health_facility</f>
        <v>0.57200000000000006</v>
      </c>
      <c r="J17" s="92">
        <f>frac_PW_health_facility</f>
        <v>0.57200000000000006</v>
      </c>
      <c r="K17" s="92">
        <f>frac_PW_health_facility</f>
        <v>0.57200000000000006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0.67900000000000005</v>
      </c>
      <c r="M23" s="92">
        <f>famplan_unmet_need</f>
        <v>0.67900000000000005</v>
      </c>
      <c r="N23" s="92">
        <f>famplan_unmet_need</f>
        <v>0.67900000000000005</v>
      </c>
      <c r="O23" s="92">
        <f>famplan_unmet_need</f>
        <v>0.67900000000000005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0.4036154721954347</v>
      </c>
      <c r="M24" s="92">
        <f>(1-food_insecure)*(0.49)+food_insecure*(0.7)</f>
        <v>0.60570999999999997</v>
      </c>
      <c r="N24" s="92">
        <f>(1-food_insecure)*(0.49)+food_insecure*(0.7)</f>
        <v>0.60570999999999997</v>
      </c>
      <c r="O24" s="92">
        <f>(1-food_insecure)*(0.49)+food_insecure*(0.7)</f>
        <v>0.60570999999999997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0.17297805951232917</v>
      </c>
      <c r="M25" s="92">
        <f>(1-food_insecure)*(0.21)+food_insecure*(0.3)</f>
        <v>0.25958999999999999</v>
      </c>
      <c r="N25" s="92">
        <f>(1-food_insecure)*(0.21)+food_insecure*(0.3)</f>
        <v>0.25958999999999999</v>
      </c>
      <c r="O25" s="92">
        <f>(1-food_insecure)*(0.21)+food_insecure*(0.3)</f>
        <v>0.25958999999999999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8.9757481475830111E-2</v>
      </c>
      <c r="M26" s="92">
        <f>(1-food_insecure)*(0.3)</f>
        <v>0.13469999999999999</v>
      </c>
      <c r="N26" s="92">
        <f>(1-food_insecure)*(0.3)</f>
        <v>0.13469999999999999</v>
      </c>
      <c r="O26" s="92">
        <f>(1-food_insecure)*(0.3)</f>
        <v>0.13469999999999999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0.33364898681640598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2020-03-24T06:50:48Z</dcterms:modified>
</cp:coreProperties>
</file>