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AC50191-30A7-457A-9930-BC1AC7A1E51E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18" i="2"/>
  <c r="I1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A83C6D7-7752-4781-AB84-1B65535FC8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87465A1-B809-4514-B4EA-480B4AE023F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0709D6CA-4A2F-491C-B531-F921A6BE914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3214E86-9FD4-4603-AD7F-28CA56A82970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A3308477-2DE7-431E-8CA1-DA9B7A848E7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BBBA33A-27DC-45DA-AA00-95FE53909390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AE072A41-E250-4B84-A6E6-871F48D70A7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458BD50-400D-4FA8-BB83-64FE79B71B0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52593924-1C47-48C9-B779-231E3B25CC2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ABC24EB-BB3B-4D6F-BE9A-BD3E1BE4892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76E0884-EEC7-442B-90BE-783370B4D6C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D1A2A17E-8D88-4F7F-B507-443DE8D5AE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1F69A1F-C86A-4528-BAD5-563F54B011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5865971-50B6-42B0-8AB7-ABBD8E0214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CE3D5BB-0A97-486A-AD27-0467B63B3B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9608CFA-CAF6-49DC-96A1-734DCE8C6B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7AC79D5-C175-43CF-A3AD-DB4DD0D33A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1338B64-C838-4FE3-BFBD-8BEA2A4593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39F7D19-B04C-464E-AB61-C2180CA023A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8E8669D-095B-4603-A880-6E8FE4D455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50EC2CEB-4920-4A06-B8DE-2869ECBC0C7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06E5893-F1FB-469B-8C2E-1BC0AD1EF9F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08DDB82-D948-4570-9044-7DDC83DDF2A3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C3D264F5-BA63-4D55-8EF1-2D97F4FEA1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B63A6F9-9D69-4F5D-9E75-15D245169F2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7FAB0ED-6AC3-43B0-8D41-16FDB0E84F1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0B55D2F-BDA7-4D9D-950E-ECEA30176C3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A34D4D95-A7DF-40B0-9938-17FB3FF36222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E961A1A-16FE-4394-9977-7A94FBA453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D565DEC-FE1A-482C-920B-94B792F46B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FE969E2-7146-47E7-BCBD-E4D93FE411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043D6DA-AFDC-41E7-875C-47E268DB1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12C38D3-09CA-4402-B484-55ACFC0E12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5DE1B89-0014-4437-B966-3EB1721D8FB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F036480-0F54-44A4-955B-6FED5746D4C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7D203F1-5013-4968-802B-446F64A57C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AE53B66-4A1F-45BE-BC24-661D616566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6E0864ED-9998-4DE7-8E94-37D664372C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7801433-F23C-4C7F-8CDE-75B643E5BA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927BAFF-4FAC-4198-A69F-E1CFC8DF9F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6E79C2D-76C8-4788-81BB-628E73787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BA56C4C-15A9-4415-97C7-36FBACDDCA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89EE35E-18A5-4F45-B858-556C3AAE32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E085638-4018-4645-AB96-1099003067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4C9707A-1EEA-421B-8F22-CC402C5D9C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0E77D27-106A-4147-8801-5E7EB1534C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3325781-14BF-4CCD-80C0-3DDB5EEEF5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790840A-881A-4219-8E38-F6B83ED4DE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3086C38-1A84-40DE-A19F-A90F688A98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350773F-0A46-40AC-A04C-D09C2008E4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BC6F5B6-1480-4F2B-8E05-5BB3CBD88D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BA744D6-909E-4889-9378-94BC2D9034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7B56635-AB5A-44F9-AD86-5EF3111E7E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8730FE4-58D0-4608-99E3-1960E0893F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F9141D4-5BCB-40F3-83F4-B3AFB977A2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5A60BFB-673F-4437-86D5-A683DFCA82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CCE7E74-0388-4839-A423-B7DED323A8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AC8D86D3-9D29-4BA4-8561-CC4645D099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4E1C404-FB3E-4B29-9891-2558BCB309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7E75527-5C02-4050-9E19-C462CFB8D5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2F2096E-83E6-46B4-B2CC-AA038A5CE0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89725F7-F479-4881-A7CB-1557478119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CE12277-327F-4290-82AC-03AE37EE01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9BBCB28-8BF0-4BFD-841E-80678CBE23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CF9125C-29A9-421D-A003-9F05032C81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B284102-D8DC-4CC1-A109-1B08033B5B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C3D42F7-34DB-4B30-9C85-E11130366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1F41627-2677-41FC-93B0-6C7B9FBDA8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7513852-0832-4B54-90FF-1D1A8EA55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813D64D-FFEB-45B2-B605-AA81773C38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A090A99-EA24-4564-8D6B-C8EE5CF8B4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8C38000-56A0-4C18-9415-BF34A1B737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8505003-99EC-485D-96FC-6ADD9481AA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C33A466-FC11-4607-8043-746ABD6265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E73CA09A-6498-4EE1-8F5F-C6B4E609E7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1C9BF37-201B-4276-B22F-84B4A0CE98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1F4AEC7E-316E-4B35-B20E-9D8659D5DB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F614AAA3-1DF0-42DC-AB37-37C808FADA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718EC5D-3061-4002-917F-B2FA9EBDB8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131C8EF-B5B1-436C-909C-C563768141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5F68A8E-2CEA-4145-9651-AAD737477D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962F63CE-57AE-4757-A49C-0A1AC01594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0710D41-F7E6-4D73-87F9-898F21239C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408651A-1339-434A-AA48-3BE3F2CC72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687CAF0-B7E3-44A4-BFB0-7C83D4F35B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BA14969-668A-4792-AD90-4DCFDBD53A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E066A523-DDE3-4040-B30E-68E6F6FD37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EAF0DED-1974-4027-9BB6-BADAA97243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87B2C770-3F1A-4440-8793-2C7F982FA1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6D3A84FB-24C4-469E-86BE-39251A082E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A4280912-AEB4-46C3-B746-A8F1721D2E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DFEBC0D1-CB06-43A2-8114-66D9A5A8E7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E1DF3AC7-36A4-4028-95C6-695E52D921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516494D-5B23-45E2-A9D7-E22E11AB90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F5C1686-2733-4432-B90F-775048EF2F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9D82B78-07F4-49F9-8FDD-2F3A447335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13E47EE-EF2E-42BF-8AFC-F3E4989604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81320656-F9DA-4932-A9A5-1E392A281A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6972008-C7B2-4B6F-9226-5B30786DAE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A2F9C53-30C5-4B2D-B590-AD3F27A86E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24ECCAB6-82CB-4670-B3FF-857093D685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953BC30-FFF8-4B5D-ADA1-B99898B5E6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0A31450-925E-41D7-90BB-19D436471A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F2E99E0-6AAA-4E83-93D1-91B9551111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A91035A-9E91-4480-B7D8-B05B42A747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943F95C6-80F3-4540-AFC7-B4E207B597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0E8A7B7-986E-46B5-8777-3DD1F0B6F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4A07078-5C5F-4AD1-9B71-244B4BFF23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A2FA0D45-C35B-4F72-8ECE-F357ED95D4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3B04BD1-27B0-4BE4-BC29-38CD2C5B15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6692050B-BBEB-456B-A014-EAA5128C26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C2635C3D-7D4F-46CB-9AE6-462678D658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92482AC-2C7A-400A-AF94-0351D0483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873B07F8-6078-444F-BCB4-D1035A5304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9B914CE-2F9D-4BB0-BCC0-20D8FB3388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B41435E9-B821-4FF9-AE70-FC925A2900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CDC9081-B16E-403B-8EB0-6D6E5CEFD3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55BFEC7-FFFE-48F0-B065-A3B7E32CB8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9DEF931-D881-46C0-9CEC-6868790D92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AAB5209-358C-4539-8CE1-7797D9EEE1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F00AC2F-7149-4052-A963-C09E5ADDB1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E04BB20F-57CB-4D99-903E-912DBF1F06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B4D6A7A-1DD7-494C-9412-A23D84E529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B8C1F41-CCF8-46C6-9E6A-07D089D0CE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F88F9EB-1A0D-4AF4-8668-77C4DBBEC9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7706901-4C50-49FE-9C12-0EC0DE848A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2E62699-0C13-4D51-AD51-AAE5A862B9B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2611194-306E-4B02-9DDA-8B0512DC9C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6A22369-B07B-41C7-B96B-CAC6A873FF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E2FB65B-FB0A-4E18-ADE1-7FD1006F01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E6D726E-D2C9-434E-BFF0-DBC03778C6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FE8010F-3FFD-4C6E-887D-19C54619D5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BFE9994-2D81-46FF-8587-57F03588F0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51AA900-A316-4760-B2EC-6E351978AA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7F3DB335-62A6-48B0-BB5B-F37CBA531D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B014B4E-284D-4E4D-A5F6-4BD3A47FDC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994BE33-8894-482D-9C2E-D872A44096C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DDFA946-EEC8-4B0C-97BF-69E90004F6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587AE89-97C2-42D1-A6F1-14FCBCE994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FE6DEA9-E14D-4DA4-9376-FB0E85D3A0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02AB376-510B-482B-A89A-EEC79DBE13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D6E82B4-8494-4E88-91B2-301CE19161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87637F2-0F15-49A8-BED9-4265A714EF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B589B22-5B9E-4E92-8D7C-B3F43F2E03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EC8570C-D3B0-4A04-AB4A-2270257334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C3F146E-B300-4872-88B9-BF4CFC8401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DBC8A98-6920-4347-8035-254BD637BF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D8B6CA8-CCFA-45AE-A5B3-55F99DA0A8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3B2CD5C-B0EB-42D3-B252-A78CE7D148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F35B3CA-C6BF-4839-B72F-B14E98D9B0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EB47499B-193E-4402-AF7A-F3F4E4BED0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B0D1124-A576-4A67-BCEC-0D5FA7A265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402E52E-332F-4C05-A3BB-0DD0EE6222E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32D1D83-E645-409F-BFC2-FCA70274A5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A24CF48-2284-414B-AF86-8A5F79D8A1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7E76BFE-242E-4E35-8C16-79EB31379C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DFB2922-D5BA-4EE3-8A35-2E2B72F7FB3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6694A1B-1FED-4568-96EC-2A37BE9F603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0B031E5-431D-48A2-A7F0-7FBCFD6C47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79F9E90B-E994-4D45-87BF-B0B35BEA92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1BA71DD-174B-4FF3-ABDA-51FA0B932A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C47DC39E-240C-4D9D-BC1F-2E7649B13CF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718E64B-566A-4CFD-B2D1-A88E0B4E26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0F3E265-AD0D-48BD-BFD3-60E77D789A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F2825A3-DDE5-4358-9596-1CB6329A46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D2FF65D-14C8-424A-AA04-EF3B3AE095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004D2BF-5AD0-417F-884F-61FA543E46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1C3CD4A-5A81-40CB-8531-5DC0B5B603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BCE35A4B-1182-43CA-9B07-F60776F531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32BA67A-864A-4869-BC19-6F01B601D9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49602802-F201-4B5E-91B7-CD46641503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77B7859-0D67-4876-9D0C-3A953DE38C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1E6F17A-71CC-4DD6-97ED-7AB383F53E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93C5416-51A9-4C32-A0A3-BEAE928C19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64799F9B-3E32-4982-8EB0-8F817C105D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9388B50-BF3D-446B-A254-CD9FA155EC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E2B6147-C424-4915-BEA3-42B1488138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404231B-A9B8-42DB-BC0A-4D28619BE7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ED79252-53D9-4A74-AFFD-938F59495A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252E9C0-A76F-4407-A8CF-D1E524A583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477A080-4DA4-4ABB-8B04-F3ED0CC92B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73BACC6-3079-48A3-AC9F-9D2C309ABCD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A97CD1B-54AF-4B13-8FE3-A265D7751E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35431F72-3F2A-4A5E-8017-7218AC9E1F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A0D70B01-5D53-4824-B906-FD7620A805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C073F65C-C834-4CB9-8D63-294B367DE6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E4EDDBC-3322-45A0-8009-509B968718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9E3B543-6D7F-4D46-9D91-9C9FB783B7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FE00B41D-085D-4BE4-82ED-0E2F156CAE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336032F8-7D0D-4EEB-BF93-568BE57EBF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7467A7A2-EFF1-4DCF-8D82-8661011C17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0A3235C-ED2B-4BF3-9CA0-1EB8CA1D19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CDB9B665-EEBD-4301-AC38-103CD2A66B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2A5E2A7-385F-4F29-86A3-7D6FB7C7FF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2CD9E17-2DA8-430C-B67A-7B21BBB010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91E40B5-B389-49A5-A895-41953133E2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04AADA9E-DA05-489F-9F0B-687CF8B31B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5FCCE7F-837A-43A1-A480-0C3D3F7F71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E0F7168-013A-4ACF-BCE7-5E590BCBCF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E053FE7-B756-478E-9001-43D888661E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5A94FE7-27B6-4B83-A373-30AED0D08E4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C77978E-5715-473B-B8B2-DEE766D338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6D5EC54E-4C09-4945-A2FE-BEDD5237AE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72F677F-89AD-4B7A-B34A-E8F8B2531CD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1BCBA03-7CB9-4AD3-8BE6-0E4256698D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B733DF14-E1FF-4CA1-AF51-056E396FACB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546479E-A33E-43F2-9706-8505827EAAD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A143F8AB-85B7-4A4B-8119-75064E08A1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D2A2DC6-B803-4FA0-A223-4D0EEC494A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EDD3935-4E2D-4699-8447-D3870D18F7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E15C3B3-61EA-43EF-9814-1F12E7D6B1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AE67F1C-157C-4951-9BBA-022D9B76AB6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89D0DD3D-1191-43D6-A22D-9741298122D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A3C7D5E-30FB-4721-AEBF-7E911F30B5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30DE089-68D3-4FD9-B63A-5268E15F03B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19DA772-4A54-4C0B-A7A0-A4100EFD02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E662FD15-0489-4D49-BEE1-E1784B0694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D70631FD-F48F-4999-A0DF-7FDD58EB4E5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5BA76C9F-34FE-48D2-B5A3-F40C1484CAE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BC8C5A4-4E43-473F-ADEB-30CDE41989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BDD2CBB-47AE-4577-A9D4-7FA2C7878B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2160A98-4AC7-41BE-852D-416DA28603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E7A3492-5EAF-4DE1-99BC-57BDE5B63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C574B0B-4233-4DC8-8EA6-83FFCFA88B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69036EA7-0DDD-4EB5-86E5-4EFCA0AD98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DC0A5D13-3A38-4F49-BF60-4A98AFA9F2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459DD46-36A1-4ABE-B14C-CE525A2B4C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568E368-44B4-4294-88A9-E54736A698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933E53B1-040E-4FCE-BD7D-02857A9D6B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5605186-E66D-4E77-8655-72ED3C104F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2CC5E1E6-7AD6-4D4A-A62C-B06577762F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06EBDEAD-F484-40A4-B84F-4F22E0CF5B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A5A69B9-889C-488F-BD72-18C30CD8B0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C4F6B88-CFC1-4954-9B9A-54DFD7106F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93A92BC-A2DE-410B-8FA5-A97EB49F96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61F68F2-CA65-43BC-90A8-5FF41F9D7C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3BFE754-CB4A-475E-992D-75F0E9F93A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3E5B87AA-E994-40CA-8924-24EACB8D6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C4E1B98-CB2D-4064-B72F-B124A81D50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21544B5-4344-472C-B4C1-5E5EB3CABF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EA528F4D-E6FC-4F14-89D3-CDA290AF29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F1FA342-7929-4596-9B68-B555791F4E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092AF67-129E-479A-A405-DF23394A53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CA880DA-DF23-4ABF-9074-7A9F2E6EBD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0229F4A0-23B4-436B-ADAD-86E8BB1E1A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4379234-1664-42DF-974E-B829E43BD3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C744FCF-F5EB-464A-BEE9-2AD4E5C2CC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D1EA545F-C269-4827-9976-D486DDEEC6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F0F1A8EC-CB40-4347-905B-F5E2EFDB92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6EFE17F-D326-4383-A890-2268C16FF0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C39EABC-5F4B-4B3E-A3CB-F48FD5F6DA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89176DE-981A-4819-835E-6C9C476FBD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830E137-81B0-431C-82FB-49C5B117BD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DCA244D-AC8A-4B07-8246-91C9339A75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B11BD00-63A8-4E5F-A1FE-952A571FC4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D4E9383-59A7-4572-A287-22E0B6AFD6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13FCDDC-EFE8-4FAA-957C-0F390FFFB8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19236D1A-5B00-471E-B170-660F53212E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F317729-D3C8-4029-B131-7C2842846B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A360B46-107D-4216-B246-4433A77E9E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3C27829-338C-4AA3-8572-7547EE61DF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CD35DAE-0063-432E-9660-95725D314F5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ACF31C7-9CA8-42D6-B924-246E026EDFF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4CC4B6F-DACD-45BA-826A-68BCA82DF6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F74123D1-2872-44F9-BF38-99DE28A01CC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4A5DB8A-D498-42DE-BCDD-01A47193C89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4642A1F-B674-46AA-8623-DB56735F372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7944CB57-C207-4DD1-97BE-2B2A3E27B2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6ED2F7B-5025-43C0-B6C6-D42B4041D0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A4928CF-2D5B-4B68-ACB3-9E7AA5E791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7186473-2346-4ECB-9BDE-4603447027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736F612-7A49-4938-9B49-BBA4062E8B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AB056D9-6136-47C1-AF37-644E98E765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B09CABB1-F77A-4781-A284-3A37F6EFACB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8DCFA62-1493-4181-BE2C-A64B1A2301C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374676B4-2CC6-41BE-88FB-707365C7C41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406FE4B-19DB-4F4F-B2E2-0DB3A570FB1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F2215F8D-FB55-4A42-8131-D60E2FC82FF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7E40660-1515-4120-B031-194743A158C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3FD1B0A-673E-4DE3-945A-B7041700FF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D47071C4-7EBB-40B4-8E48-BCA821967A1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9FE182E-10BC-4F7B-B14F-BD5273149B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C4A0470-474F-4A08-91CC-3737F07893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C9DDD52-87AE-4823-BBBF-DC82FA1901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81B0775-F639-4775-9326-8C45E51434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8907024-3D02-45E6-B4BA-7660923A763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92B7E95-863D-49F1-B0D6-155FDFF8F37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4579A3E-6E9F-47E0-9411-A65967F5685F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D696251-56A5-4FA8-8EB5-5E149395AD16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EE75D8D-B47F-4023-82B2-B83FD20FD7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EA36844-2577-4FCF-A948-42B34C44D49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E1A540CF-4B15-42DB-B65C-7C64B4469DD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4B2ACB6E-A52C-4166-9809-8AA5DF5A4EB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98B32F08-24E5-4977-9D6E-3A65A37FF6C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B939EA9-A786-405C-AAB8-222ED4A7BDF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674636B-A2D4-4702-8660-263102FD399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3F10168-5A6F-4034-BCD5-4C13A11748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B47A33A-2974-4136-B4D6-A84CE1D8DDA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8CEA1FB3-3C23-4EAD-BA08-4B94C4126D7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85C80D0-9A89-42DB-AC30-1DBB19F2673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90CFAF9-21F1-4152-A8BD-53F14ACB86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1307F4C-237D-41E2-B93D-962D9A93FE9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7505085-0F56-49C8-B340-B1ECD19E063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AF8ADDD-A5A2-42A7-A2B0-302EED0BEC3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167D43A8-DD32-4DF7-9A94-C6BD8046BF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D0969FB-05FA-421D-BCC3-844E53B4434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23EA0CC-B414-41B9-A82E-1C619A32A33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955D0EA-F3DD-43B5-AEE7-61FB94E963A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59ADCB20-76CF-473D-8D13-F60F503996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73DB71A-647B-4DD3-8D27-D225B32FD5C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A520F2B-C5D3-4B53-8CAB-53C24BA95F7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90A2499-738A-499E-B7FC-A1E9C1A2EEA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600C6293-E69F-4BC5-8AED-710DF9B0DDB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1C686F82-70F9-46DC-A8DA-57219F36460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F05E9B96-1F19-4AD9-8307-A6F067178A1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94772CF-F111-4E86-BF99-C992CFA598E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9141602-15EF-4BAD-AEA2-2A3F05F8BB5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BAA23D1-ED03-4808-A145-491361062DA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3E2F553-0D04-4125-9CA4-FE05DFE9353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4782C482-B5F6-4A1A-A96A-E1B05FAE3F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8C4B9146-01C7-4924-B79D-7B9855E4417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5746722-9A18-41BD-8DB2-71A4CCE738D1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CFC002C-CF14-4AC8-AEEA-BAFA0C6CBA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<sst xmlns="http://schemas.openxmlformats.org/spreadsheetml/2006/main" count="1102" uniqueCount="271">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</sst>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1052953</v>
      </c>
    </row>
    <row r="8" spans="1:3" ht="15" customHeight="1" x14ac:dyDescent="0.25">
      <c r="B8" s="7" t="s">
        <v>106</v>
      </c>
      <c r="C8" s="70">
        <v>0.152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0.85099999999999998</v>
      </c>
    </row>
    <row r="12" spans="1:3" ht="15" customHeight="1" x14ac:dyDescent="0.25">
      <c r="B12" s="7" t="s">
        <v>109</v>
      </c>
      <c r="C12" s="70">
        <v>0.59499999999999997</v>
      </c>
    </row>
    <row r="13" spans="1:3" ht="15" customHeight="1" x14ac:dyDescent="0.25">
      <c r="B13" s="7" t="s">
        <v>110</v>
      </c>
      <c r="C13" s="70">
        <v>0.26800000000000002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1.77E-2</v>
      </c>
    </row>
    <row r="24" spans="1:3" ht="15" customHeight="1" x14ac:dyDescent="0.25">
      <c r="B24" s="20" t="s">
        <v>102</v>
      </c>
      <c r="C24" s="71">
        <v>0.43479999999999996</v>
      </c>
    </row>
    <row r="25" spans="1:3" ht="15" customHeight="1" x14ac:dyDescent="0.25">
      <c r="B25" s="20" t="s">
        <v>103</v>
      </c>
      <c r="C25" s="71">
        <v>0.49219999999999997</v>
      </c>
    </row>
    <row r="26" spans="1:3" ht="15" customHeight="1" x14ac:dyDescent="0.25">
      <c r="B26" s="20" t="s">
        <v>104</v>
      </c>
      <c r="C26" s="71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7.5</v>
      </c>
    </row>
    <row r="38" spans="1:5" ht="15" customHeight="1" x14ac:dyDescent="0.25">
      <c r="B38" s="16" t="s">
        <v>91</v>
      </c>
      <c r="C38" s="75">
        <v>11.2</v>
      </c>
      <c r="D38" s="17"/>
      <c r="E38" s="18"/>
    </row>
    <row r="39" spans="1:5" ht="15" customHeight="1" x14ac:dyDescent="0.25">
      <c r="B39" s="16" t="s">
        <v>90</v>
      </c>
      <c r="C39" s="75">
        <v>13</v>
      </c>
      <c r="D39" s="17"/>
      <c r="E39" s="17"/>
    </row>
    <row r="40" spans="1:5" ht="15" customHeight="1" x14ac:dyDescent="0.25">
      <c r="B40" s="16" t="s">
        <v>171</v>
      </c>
      <c r="C40" s="75">
        <v>0.16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1.4199999999999999E-2</v>
      </c>
      <c r="D45" s="17"/>
    </row>
    <row r="46" spans="1:5" ht="15.75" customHeight="1" x14ac:dyDescent="0.25">
      <c r="B46" s="16" t="s">
        <v>11</v>
      </c>
      <c r="C46" s="71">
        <v>7.46E-2</v>
      </c>
      <c r="D46" s="17"/>
    </row>
    <row r="47" spans="1:5" ht="15.75" customHeight="1" x14ac:dyDescent="0.25">
      <c r="B47" s="16" t="s">
        <v>12</v>
      </c>
      <c r="C47" s="71">
        <v>8.14E-2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2.6739858425225003</v>
      </c>
      <c r="D51" s="17"/>
    </row>
    <row r="52" spans="1:4" ht="15" customHeight="1" x14ac:dyDescent="0.25">
      <c r="B52" s="16" t="s">
        <v>125</v>
      </c>
      <c r="C52" s="76">
        <v>2.5421894364799997</v>
      </c>
    </row>
    <row r="53" spans="1:4" ht="15.75" customHeight="1" x14ac:dyDescent="0.25">
      <c r="B53" s="16" t="s">
        <v>126</v>
      </c>
      <c r="C53" s="76">
        <v>2.5421894364799997</v>
      </c>
    </row>
    <row r="54" spans="1:4" ht="15.75" customHeight="1" x14ac:dyDescent="0.25">
      <c r="B54" s="16" t="s">
        <v>127</v>
      </c>
      <c r="C54" s="76">
        <v>1.6002609630100002</v>
      </c>
    </row>
    <row r="55" spans="1:4" ht="15.75" customHeight="1" x14ac:dyDescent="0.25">
      <c r="B55" s="16" t="s">
        <v>128</v>
      </c>
      <c r="C55" s="76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0.51577717856589778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55.12482350799813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39.815027292809162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368.86463746807794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2.0501489005115023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1.414493007291058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1.414493007291058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1.414493007291058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1.414493007291058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12.947326736605076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12.947326736605076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0.65409253650042354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8.5173575549872886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8.5173575549872886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8.5173575549872886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23.330746965205982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22.308947987822172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4.2388047202319106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18.508269134264207</v>
      </c>
      <c r="E24" s="86" t="s">
        <v>202</v>
      </c>
    </row>
    <row r="25" spans="1:5" ht="15.75" customHeight="1" x14ac:dyDescent="0.25">
      <c r="A25" s="52" t="s">
        <v>87</v>
      </c>
      <c r="B25" s="85">
        <v>0.61699999999999999</v>
      </c>
      <c r="C25" s="85">
        <v>0.95</v>
      </c>
      <c r="D25" s="86">
        <v>18.507496870229286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5.0730646121440834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6.8699009629977654</v>
      </c>
      <c r="E27" s="86" t="s">
        <v>202</v>
      </c>
    </row>
    <row r="28" spans="1:5" ht="15.75" customHeight="1" x14ac:dyDescent="0.25">
      <c r="A28" s="52" t="s">
        <v>84</v>
      </c>
      <c r="B28" s="85">
        <v>0.65099999999999991</v>
      </c>
      <c r="C28" s="85">
        <v>0.95</v>
      </c>
      <c r="D28" s="86">
        <v>1.4980994160467036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107.01874447998674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1.8336841254333391</v>
      </c>
      <c r="E30" s="86" t="s">
        <v>202</v>
      </c>
    </row>
    <row r="31" spans="1:5" ht="15.75" customHeight="1" x14ac:dyDescent="0.25">
      <c r="A31" s="52" t="s">
        <v>28</v>
      </c>
      <c r="B31" s="85">
        <v>0.40199999999999997</v>
      </c>
      <c r="C31" s="85">
        <v>0.95</v>
      </c>
      <c r="D31" s="86">
        <v>1.3977661511371069</v>
      </c>
      <c r="E31" s="86" t="s">
        <v>202</v>
      </c>
    </row>
    <row r="32" spans="1:5" ht="15.75" customHeight="1" x14ac:dyDescent="0.25">
      <c r="A32" s="52" t="s">
        <v>83</v>
      </c>
      <c r="B32" s="85">
        <v>0.8640000000000001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0.14400000000000002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0.91599999999999993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0.97699999999999998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3.5105839673843438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1.4188883572515467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6.4531550199999968E-2</v>
      </c>
      <c r="C3" s="26">
        <f>frac_mam_1_5months * 2.6</f>
        <v>6.4531550199999968E-2</v>
      </c>
      <c r="D3" s="26">
        <f>frac_mam_6_11months * 2.6</f>
        <v>4.3299952800000006E-2</v>
      </c>
      <c r="E3" s="26">
        <f>frac_mam_12_23months * 2.6</f>
        <v>2.0036691999999998E-2</v>
      </c>
      <c r="F3" s="26">
        <f>frac_mam_24_59months * 2.6</f>
        <v>2.1843374800000006E-2</v>
      </c>
    </row>
    <row r="4" spans="1:6" ht="15.75" customHeight="1" x14ac:dyDescent="0.25">
      <c r="A4" s="3" t="s">
        <v>66</v>
      </c>
      <c r="B4" s="26">
        <f>frac_sam_1month * 2.6</f>
        <v>0.15240825600000002</v>
      </c>
      <c r="C4" s="26">
        <f>frac_sam_1_5months * 2.6</f>
        <v>0.15240825600000002</v>
      </c>
      <c r="D4" s="26">
        <f>frac_sam_6_11months * 2.6</f>
        <v>0.10388349920000001</v>
      </c>
      <c r="E4" s="26">
        <f>frac_sam_12_23months * 2.6</f>
        <v>4.4203640000000002E-2</v>
      </c>
      <c r="F4" s="26">
        <f>frac_sam_24_59months * 2.6</f>
        <v>3.6440519266666666E-2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206021.448855</v>
      </c>
      <c r="C2" s="78">
        <v>389364</v>
      </c>
      <c r="D2" s="78">
        <v>927739</v>
      </c>
      <c r="E2" s="78">
        <v>6281930</v>
      </c>
      <c r="F2" s="78">
        <v>5436898</v>
      </c>
      <c r="G2" s="22">
        <f t="shared" ref="G2:G40" si="0">C2+D2+E2+F2</f>
        <v>13035931</v>
      </c>
      <c r="H2" s="22">
        <f t="shared" ref="H2:H40" si="1">(B2 + stillbirth*B2/(1000-stillbirth))/(1-abortion)</f>
        <v>239464.31697009216</v>
      </c>
      <c r="I2" s="22">
        <f>G2-H2</f>
        <v>12796466.683029909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202901.57699999996</v>
      </c>
      <c r="C3" s="78">
        <v>386000</v>
      </c>
      <c r="D3" s="78">
        <v>904000</v>
      </c>
      <c r="E3" s="78">
        <v>6329000</v>
      </c>
      <c r="F3" s="78">
        <v>5573000</v>
      </c>
      <c r="G3" s="22">
        <f t="shared" si="0"/>
        <v>13192000</v>
      </c>
      <c r="H3" s="22">
        <f t="shared" si="1"/>
        <v>235838.00530718558</v>
      </c>
      <c r="I3" s="22">
        <f t="shared" ref="I3:I15" si="3">G3-H3</f>
        <v>12956161.994692814</v>
      </c>
    </row>
    <row r="4" spans="1:9" ht="15.75" customHeight="1" x14ac:dyDescent="0.25">
      <c r="A4" s="7">
        <f t="shared" si="2"/>
        <v>2019</v>
      </c>
      <c r="B4" s="77">
        <v>199615.80300000001</v>
      </c>
      <c r="C4" s="78">
        <v>384000</v>
      </c>
      <c r="D4" s="78">
        <v>880000</v>
      </c>
      <c r="E4" s="78">
        <v>6358000</v>
      </c>
      <c r="F4" s="78">
        <v>5697000</v>
      </c>
      <c r="G4" s="22">
        <f t="shared" si="0"/>
        <v>13319000</v>
      </c>
      <c r="H4" s="22">
        <f t="shared" si="1"/>
        <v>232018.86108214982</v>
      </c>
      <c r="I4" s="22">
        <f t="shared" si="3"/>
        <v>13086981.13891785</v>
      </c>
    </row>
    <row r="5" spans="1:9" ht="15.75" customHeight="1" x14ac:dyDescent="0.25">
      <c r="A5" s="7">
        <f t="shared" si="2"/>
        <v>2020</v>
      </c>
      <c r="B5" s="77">
        <v>196149.53700000001</v>
      </c>
      <c r="C5" s="78">
        <v>384000</v>
      </c>
      <c r="D5" s="78">
        <v>857000</v>
      </c>
      <c r="E5" s="78">
        <v>6365000</v>
      </c>
      <c r="F5" s="78">
        <v>5803000</v>
      </c>
      <c r="G5" s="22">
        <f t="shared" si="0"/>
        <v>13409000</v>
      </c>
      <c r="H5" s="22">
        <f t="shared" si="1"/>
        <v>227989.92611086511</v>
      </c>
      <c r="I5" s="22">
        <f t="shared" si="3"/>
        <v>13181010.073889134</v>
      </c>
    </row>
    <row r="6" spans="1:9" ht="15.75" customHeight="1" x14ac:dyDescent="0.25">
      <c r="A6" s="7">
        <f t="shared" si="2"/>
        <v>2021</v>
      </c>
      <c r="B6" s="77">
        <v>192914.56519999998</v>
      </c>
      <c r="C6" s="78">
        <v>387000</v>
      </c>
      <c r="D6" s="78">
        <v>838000</v>
      </c>
      <c r="E6" s="78">
        <v>6359000</v>
      </c>
      <c r="F6" s="78">
        <v>5895000</v>
      </c>
      <c r="G6" s="22">
        <f t="shared" si="0"/>
        <v>13479000</v>
      </c>
      <c r="H6" s="22">
        <f t="shared" si="1"/>
        <v>224229.83066056212</v>
      </c>
      <c r="I6" s="22">
        <f t="shared" si="3"/>
        <v>13254770.169339437</v>
      </c>
    </row>
    <row r="7" spans="1:9" ht="15.75" customHeight="1" x14ac:dyDescent="0.25">
      <c r="A7" s="7">
        <f t="shared" si="2"/>
        <v>2022</v>
      </c>
      <c r="B7" s="77">
        <v>189486.51539999997</v>
      </c>
      <c r="C7" s="78">
        <v>390000</v>
      </c>
      <c r="D7" s="78">
        <v>819000</v>
      </c>
      <c r="E7" s="78">
        <v>6329000</v>
      </c>
      <c r="F7" s="78">
        <v>5967000</v>
      </c>
      <c r="G7" s="22">
        <f t="shared" si="0"/>
        <v>13505000</v>
      </c>
      <c r="H7" s="22">
        <f t="shared" si="1"/>
        <v>220245.31541489845</v>
      </c>
      <c r="I7" s="22">
        <f t="shared" si="3"/>
        <v>13284754.684585102</v>
      </c>
    </row>
    <row r="8" spans="1:9" ht="15.75" customHeight="1" x14ac:dyDescent="0.25">
      <c r="A8" s="7">
        <f t="shared" si="2"/>
        <v>2023</v>
      </c>
      <c r="B8" s="77">
        <v>185903.48399999997</v>
      </c>
      <c r="C8" s="78">
        <v>396000</v>
      </c>
      <c r="D8" s="78">
        <v>803000</v>
      </c>
      <c r="E8" s="78">
        <v>6288000</v>
      </c>
      <c r="F8" s="78">
        <v>6021000</v>
      </c>
      <c r="G8" s="22">
        <f t="shared" si="0"/>
        <v>13508000</v>
      </c>
      <c r="H8" s="22">
        <f t="shared" si="1"/>
        <v>216080.66085270638</v>
      </c>
      <c r="I8" s="22">
        <f t="shared" si="3"/>
        <v>13291919.339147294</v>
      </c>
    </row>
    <row r="9" spans="1:9" ht="15.75" customHeight="1" x14ac:dyDescent="0.25">
      <c r="A9" s="7">
        <f t="shared" si="2"/>
        <v>2024</v>
      </c>
      <c r="B9" s="77">
        <v>182155.84319999994</v>
      </c>
      <c r="C9" s="78">
        <v>404000</v>
      </c>
      <c r="D9" s="78">
        <v>790000</v>
      </c>
      <c r="E9" s="78">
        <v>6250000</v>
      </c>
      <c r="F9" s="78">
        <v>6064000</v>
      </c>
      <c r="G9" s="22">
        <f t="shared" si="0"/>
        <v>13508000</v>
      </c>
      <c r="H9" s="22">
        <f t="shared" si="1"/>
        <v>211724.67632095565</v>
      </c>
      <c r="I9" s="22">
        <f t="shared" si="3"/>
        <v>13296275.323679045</v>
      </c>
    </row>
    <row r="10" spans="1:9" ht="15.75" customHeight="1" x14ac:dyDescent="0.25">
      <c r="A10" s="7">
        <f t="shared" si="2"/>
        <v>2025</v>
      </c>
      <c r="B10" s="77">
        <v>178250.016</v>
      </c>
      <c r="C10" s="78">
        <v>416000</v>
      </c>
      <c r="D10" s="78">
        <v>780000</v>
      </c>
      <c r="E10" s="78">
        <v>6227000</v>
      </c>
      <c r="F10" s="78">
        <v>6099000</v>
      </c>
      <c r="G10" s="22">
        <f t="shared" si="0"/>
        <v>13522000</v>
      </c>
      <c r="H10" s="22">
        <f t="shared" si="1"/>
        <v>207184.82744672764</v>
      </c>
      <c r="I10" s="22">
        <f t="shared" si="3"/>
        <v>13314815.172553273</v>
      </c>
    </row>
    <row r="11" spans="1:9" ht="15.75" customHeight="1" x14ac:dyDescent="0.25">
      <c r="A11" s="7">
        <f t="shared" si="2"/>
        <v>2026</v>
      </c>
      <c r="B11" s="77">
        <v>175602.51519999999</v>
      </c>
      <c r="C11" s="78">
        <v>431000</v>
      </c>
      <c r="D11" s="78">
        <v>774000</v>
      </c>
      <c r="E11" s="78">
        <v>6218000</v>
      </c>
      <c r="F11" s="78">
        <v>6125000</v>
      </c>
      <c r="G11" s="22">
        <f t="shared" si="0"/>
        <v>13548000</v>
      </c>
      <c r="H11" s="22">
        <f t="shared" si="1"/>
        <v>204107.56547098077</v>
      </c>
      <c r="I11" s="22">
        <f t="shared" si="3"/>
        <v>13343892.43452902</v>
      </c>
    </row>
    <row r="12" spans="1:9" ht="15.75" customHeight="1" x14ac:dyDescent="0.25">
      <c r="A12" s="7">
        <f t="shared" si="2"/>
        <v>2027</v>
      </c>
      <c r="B12" s="77">
        <v>172829.04119999998</v>
      </c>
      <c r="C12" s="78">
        <v>450000</v>
      </c>
      <c r="D12" s="78">
        <v>772000</v>
      </c>
      <c r="E12" s="78">
        <v>6222000</v>
      </c>
      <c r="F12" s="78">
        <v>6147000</v>
      </c>
      <c r="G12" s="22">
        <f t="shared" si="0"/>
        <v>13591000</v>
      </c>
      <c r="H12" s="22">
        <f t="shared" si="1"/>
        <v>200883.88142868597</v>
      </c>
      <c r="I12" s="22">
        <f t="shared" si="3"/>
        <v>13390116.118571315</v>
      </c>
    </row>
    <row r="13" spans="1:9" ht="15.75" customHeight="1" x14ac:dyDescent="0.25">
      <c r="A13" s="7">
        <f t="shared" si="2"/>
        <v>2028</v>
      </c>
      <c r="B13" s="77">
        <v>169947.71919999999</v>
      </c>
      <c r="C13" s="78">
        <v>470000</v>
      </c>
      <c r="D13" s="78">
        <v>774000</v>
      </c>
      <c r="E13" s="78">
        <v>6238000</v>
      </c>
      <c r="F13" s="78">
        <v>6161000</v>
      </c>
      <c r="G13" s="22">
        <f t="shared" si="0"/>
        <v>13643000</v>
      </c>
      <c r="H13" s="22">
        <f t="shared" si="1"/>
        <v>197534.84273132923</v>
      </c>
      <c r="I13" s="22">
        <f t="shared" si="3"/>
        <v>13445465.157268671</v>
      </c>
    </row>
    <row r="14" spans="1:9" ht="15.75" customHeight="1" x14ac:dyDescent="0.25">
      <c r="A14" s="7">
        <f t="shared" si="2"/>
        <v>2029</v>
      </c>
      <c r="B14" s="77">
        <v>166949.26079999999</v>
      </c>
      <c r="C14" s="78">
        <v>486000</v>
      </c>
      <c r="D14" s="78">
        <v>781000</v>
      </c>
      <c r="E14" s="78">
        <v>6256000</v>
      </c>
      <c r="F14" s="78">
        <v>6166000</v>
      </c>
      <c r="G14" s="22">
        <f t="shared" si="0"/>
        <v>13689000</v>
      </c>
      <c r="H14" s="22">
        <f t="shared" si="1"/>
        <v>194049.65321970423</v>
      </c>
      <c r="I14" s="22">
        <f t="shared" si="3"/>
        <v>13494950.346780296</v>
      </c>
    </row>
    <row r="15" spans="1:9" ht="15.75" customHeight="1" x14ac:dyDescent="0.25">
      <c r="A15" s="7">
        <f t="shared" si="2"/>
        <v>2030</v>
      </c>
      <c r="B15" s="77">
        <v>163863.92000000001</v>
      </c>
      <c r="C15" s="78">
        <v>497000</v>
      </c>
      <c r="D15" s="78">
        <v>793000</v>
      </c>
      <c r="E15" s="78">
        <v>6272000</v>
      </c>
      <c r="F15" s="78">
        <v>6162000</v>
      </c>
      <c r="G15" s="22">
        <f t="shared" si="0"/>
        <v>13724000</v>
      </c>
      <c r="H15" s="22">
        <f t="shared" si="1"/>
        <v>190463.47793845015</v>
      </c>
      <c r="I15" s="22">
        <f t="shared" si="3"/>
        <v>13533536.522061549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127.85598302072546</v>
      </c>
      <c r="I17" s="22">
        <f t="shared" si="4"/>
        <v>-127.85598302072546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4.7394159999999998E-3</v>
      </c>
    </row>
    <row r="4" spans="1:8" ht="15.75" customHeight="1" x14ac:dyDescent="0.25">
      <c r="B4" s="24" t="s">
        <v>7</v>
      </c>
      <c r="C4" s="79">
        <v>3.8152431499796996E-2</v>
      </c>
    </row>
    <row r="5" spans="1:8" ht="15.75" customHeight="1" x14ac:dyDescent="0.25">
      <c r="B5" s="24" t="s">
        <v>8</v>
      </c>
      <c r="C5" s="79">
        <v>3.3596887760844962E-2</v>
      </c>
    </row>
    <row r="6" spans="1:8" ht="15.75" customHeight="1" x14ac:dyDescent="0.25">
      <c r="B6" s="24" t="s">
        <v>10</v>
      </c>
      <c r="C6" s="79">
        <v>6.2735910987566396E-2</v>
      </c>
    </row>
    <row r="7" spans="1:8" ht="15.75" customHeight="1" x14ac:dyDescent="0.25">
      <c r="B7" s="24" t="s">
        <v>13</v>
      </c>
      <c r="C7" s="79">
        <v>0.38681309837037675</v>
      </c>
    </row>
    <row r="8" spans="1:8" ht="15.75" customHeight="1" x14ac:dyDescent="0.25">
      <c r="B8" s="24" t="s">
        <v>14</v>
      </c>
      <c r="C8" s="79">
        <v>1.7982167239306854E-5</v>
      </c>
    </row>
    <row r="9" spans="1:8" ht="15.75" customHeight="1" x14ac:dyDescent="0.25">
      <c r="B9" s="24" t="s">
        <v>27</v>
      </c>
      <c r="C9" s="79">
        <v>0.26841809131313576</v>
      </c>
    </row>
    <row r="10" spans="1:8" ht="15.75" customHeight="1" x14ac:dyDescent="0.25">
      <c r="B10" s="24" t="s">
        <v>15</v>
      </c>
      <c r="C10" s="79">
        <v>0.20552618190103977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2.76436363174439E-2</v>
      </c>
      <c r="D14" s="79">
        <v>2.76436363174439E-2</v>
      </c>
      <c r="E14" s="79">
        <v>1.80524103170768E-2</v>
      </c>
      <c r="F14" s="79">
        <v>1.80524103170768E-2</v>
      </c>
    </row>
    <row r="15" spans="1:8" ht="15.75" customHeight="1" x14ac:dyDescent="0.25">
      <c r="B15" s="24" t="s">
        <v>16</v>
      </c>
      <c r="C15" s="79">
        <v>8.3624304887921996E-2</v>
      </c>
      <c r="D15" s="79">
        <v>8.3624304887921996E-2</v>
      </c>
      <c r="E15" s="79">
        <v>4.5379387502413202E-2</v>
      </c>
      <c r="F15" s="79">
        <v>4.5379387502413202E-2</v>
      </c>
    </row>
    <row r="16" spans="1:8" ht="15.75" customHeight="1" x14ac:dyDescent="0.25">
      <c r="B16" s="24" t="s">
        <v>17</v>
      </c>
      <c r="C16" s="79">
        <v>1.0818118836742698E-2</v>
      </c>
      <c r="D16" s="79">
        <v>1.0818118836742698E-2</v>
      </c>
      <c r="E16" s="79">
        <v>1.13243889882969E-2</v>
      </c>
      <c r="F16" s="79">
        <v>1.13243889882969E-2</v>
      </c>
    </row>
    <row r="17" spans="1:8" ht="15.75" customHeight="1" x14ac:dyDescent="0.25">
      <c r="B17" s="24" t="s">
        <v>18</v>
      </c>
      <c r="C17" s="79">
        <v>8.2557368265577698E-3</v>
      </c>
      <c r="D17" s="79">
        <v>8.2557368265577698E-3</v>
      </c>
      <c r="E17" s="79">
        <v>2.7387908725618901E-2</v>
      </c>
      <c r="F17" s="79">
        <v>2.7387908725618901E-2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2.65917099458036E-2</v>
      </c>
      <c r="D19" s="79">
        <v>2.65917099458036E-2</v>
      </c>
      <c r="E19" s="79">
        <v>3.6306825546515702E-2</v>
      </c>
      <c r="F19" s="79">
        <v>3.6306825546515702E-2</v>
      </c>
    </row>
    <row r="20" spans="1:8" ht="15.75" customHeight="1" x14ac:dyDescent="0.25">
      <c r="B20" s="24" t="s">
        <v>21</v>
      </c>
      <c r="C20" s="79">
        <v>9.0731488688961907E-3</v>
      </c>
      <c r="D20" s="79">
        <v>9.0731488688961907E-3</v>
      </c>
      <c r="E20" s="79">
        <v>6.2572942102662399E-2</v>
      </c>
      <c r="F20" s="79">
        <v>6.2572942102662399E-2</v>
      </c>
    </row>
    <row r="21" spans="1:8" ht="15.75" customHeight="1" x14ac:dyDescent="0.25">
      <c r="B21" s="24" t="s">
        <v>22</v>
      </c>
      <c r="C21" s="79">
        <v>9.5598001062288093E-2</v>
      </c>
      <c r="D21" s="79">
        <v>9.5598001062288093E-2</v>
      </c>
      <c r="E21" s="79">
        <v>0.35310886061691499</v>
      </c>
      <c r="F21" s="79">
        <v>0.35310886061691499</v>
      </c>
    </row>
    <row r="22" spans="1:8" ht="15.75" customHeight="1" x14ac:dyDescent="0.25">
      <c r="B22" s="24" t="s">
        <v>23</v>
      </c>
      <c r="C22" s="79">
        <v>0.73839534325434575</v>
      </c>
      <c r="D22" s="79">
        <v>0.73839534325434575</v>
      </c>
      <c r="E22" s="79">
        <v>0.44586727620050115</v>
      </c>
      <c r="F22" s="79">
        <v>0.44586727620050115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1.11E-2</v>
      </c>
    </row>
    <row r="27" spans="1:8" ht="15.75" customHeight="1" x14ac:dyDescent="0.25">
      <c r="B27" s="24" t="s">
        <v>39</v>
      </c>
      <c r="C27" s="79">
        <v>3.7000000000000002E-3</v>
      </c>
    </row>
    <row r="28" spans="1:8" ht="15.75" customHeight="1" x14ac:dyDescent="0.25">
      <c r="B28" s="24" t="s">
        <v>40</v>
      </c>
      <c r="C28" s="79">
        <v>0.34670000000000001</v>
      </c>
    </row>
    <row r="29" spans="1:8" ht="15.75" customHeight="1" x14ac:dyDescent="0.25">
      <c r="B29" s="24" t="s">
        <v>41</v>
      </c>
      <c r="C29" s="79">
        <v>0.10580000000000001</v>
      </c>
    </row>
    <row r="30" spans="1:8" ht="15.75" customHeight="1" x14ac:dyDescent="0.25">
      <c r="B30" s="24" t="s">
        <v>42</v>
      </c>
      <c r="C30" s="79">
        <v>4.4900000000000002E-2</v>
      </c>
    </row>
    <row r="31" spans="1:8" ht="15.75" customHeight="1" x14ac:dyDescent="0.25">
      <c r="B31" s="24" t="s">
        <v>43</v>
      </c>
      <c r="C31" s="79">
        <v>3.5099999999999999E-2</v>
      </c>
    </row>
    <row r="32" spans="1:8" ht="15.75" customHeight="1" x14ac:dyDescent="0.25">
      <c r="B32" s="24" t="s">
        <v>44</v>
      </c>
      <c r="C32" s="79">
        <v>8.1199999999999994E-2</v>
      </c>
    </row>
    <row r="33" spans="2:3" ht="15.75" customHeight="1" x14ac:dyDescent="0.25">
      <c r="B33" s="24" t="s">
        <v>45</v>
      </c>
      <c r="C33" s="79">
        <v>9.2699999999999991E-2</v>
      </c>
    </row>
    <row r="34" spans="2:3" ht="15.75" customHeight="1" x14ac:dyDescent="0.25">
      <c r="B34" s="24" t="s">
        <v>46</v>
      </c>
      <c r="C34" s="79">
        <v>0.27879999999776484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0.81987352158538851</v>
      </c>
      <c r="D2" s="80">
        <v>0.81987352158538851</v>
      </c>
      <c r="E2" s="80">
        <v>0.86005176278937701</v>
      </c>
      <c r="F2" s="80">
        <v>0.69854298507026591</v>
      </c>
      <c r="G2" s="80">
        <v>0.70180796280180779</v>
      </c>
    </row>
    <row r="3" spans="1:15" ht="15.75" customHeight="1" x14ac:dyDescent="0.25">
      <c r="A3" s="5"/>
      <c r="B3" s="11" t="s">
        <v>118</v>
      </c>
      <c r="C3" s="80">
        <v>0.12927466315454259</v>
      </c>
      <c r="D3" s="80">
        <v>0.12927466315454259</v>
      </c>
      <c r="E3" s="80">
        <v>7.8638992199491636E-2</v>
      </c>
      <c r="F3" s="80">
        <v>0.21123605237154747</v>
      </c>
      <c r="G3" s="80">
        <v>0.17762402359770652</v>
      </c>
    </row>
    <row r="4" spans="1:15" ht="15.75" customHeight="1" x14ac:dyDescent="0.25">
      <c r="A4" s="5"/>
      <c r="B4" s="11" t="s">
        <v>116</v>
      </c>
      <c r="C4" s="81">
        <v>2.8706669904877562E-2</v>
      </c>
      <c r="D4" s="81">
        <v>2.8706669904877562E-2</v>
      </c>
      <c r="E4" s="81">
        <v>3.3217718032786885E-2</v>
      </c>
      <c r="F4" s="81">
        <v>6.2129435579842143E-2</v>
      </c>
      <c r="G4" s="81">
        <v>8.796543849423194E-2</v>
      </c>
    </row>
    <row r="5" spans="1:15" ht="15.75" customHeight="1" x14ac:dyDescent="0.25">
      <c r="A5" s="5"/>
      <c r="B5" s="11" t="s">
        <v>119</v>
      </c>
      <c r="C5" s="81">
        <v>2.214514535519126E-2</v>
      </c>
      <c r="D5" s="81">
        <v>2.214514535519126E-2</v>
      </c>
      <c r="E5" s="81">
        <v>2.8091526978344467E-2</v>
      </c>
      <c r="F5" s="81">
        <v>2.8091526978344467E-2</v>
      </c>
      <c r="G5" s="81">
        <v>3.2602575106253792E-2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0.82648914347192226</v>
      </c>
      <c r="D8" s="80">
        <v>0.82648914347192226</v>
      </c>
      <c r="E8" s="80">
        <v>0.87685708983157895</v>
      </c>
      <c r="F8" s="80">
        <v>0.93946512032653062</v>
      </c>
      <c r="G8" s="80">
        <v>0.94373604434623215</v>
      </c>
    </row>
    <row r="9" spans="1:15" ht="15.75" customHeight="1" x14ac:dyDescent="0.25">
      <c r="B9" s="7" t="s">
        <v>121</v>
      </c>
      <c r="C9" s="80">
        <v>9.0072469528077764E-2</v>
      </c>
      <c r="D9" s="80">
        <v>9.0072469528077764E-2</v>
      </c>
      <c r="E9" s="80">
        <v>6.6533890168421067E-2</v>
      </c>
      <c r="F9" s="80">
        <v>3.5827059673469393E-2</v>
      </c>
      <c r="G9" s="80">
        <v>3.384707332043449E-2</v>
      </c>
    </row>
    <row r="10" spans="1:15" ht="15.75" customHeight="1" x14ac:dyDescent="0.25">
      <c r="B10" s="7" t="s">
        <v>122</v>
      </c>
      <c r="C10" s="81">
        <v>2.4819826999999989E-2</v>
      </c>
      <c r="D10" s="81">
        <v>2.4819826999999989E-2</v>
      </c>
      <c r="E10" s="81">
        <v>1.6653828000000002E-2</v>
      </c>
      <c r="F10" s="81">
        <v>7.7064199999999985E-3</v>
      </c>
      <c r="G10" s="81">
        <v>8.4012980000000015E-3</v>
      </c>
    </row>
    <row r="11" spans="1:15" ht="15.75" customHeight="1" x14ac:dyDescent="0.25">
      <c r="B11" s="7" t="s">
        <v>123</v>
      </c>
      <c r="C11" s="81">
        <v>5.8618560000000007E-2</v>
      </c>
      <c r="D11" s="81">
        <v>5.8618560000000007E-2</v>
      </c>
      <c r="E11" s="81">
        <v>3.9955192E-2</v>
      </c>
      <c r="F11" s="81">
        <v>1.70014E-2</v>
      </c>
      <c r="G11" s="81">
        <v>1.4015584333333332E-2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0.42884647224999994</v>
      </c>
      <c r="D14" s="82">
        <v>0.41391502033799993</v>
      </c>
      <c r="E14" s="82">
        <v>0.41391502033799993</v>
      </c>
      <c r="F14" s="82">
        <v>0.18722120341099999</v>
      </c>
      <c r="G14" s="82">
        <v>0.18722120341099999</v>
      </c>
      <c r="H14" s="83">
        <v>0.36700000000000005</v>
      </c>
      <c r="I14" s="83">
        <v>0.36700000000000005</v>
      </c>
      <c r="J14" s="83">
        <v>0.36700000000000005</v>
      </c>
      <c r="K14" s="83">
        <v>0.36700000000000005</v>
      </c>
      <c r="L14" s="83">
        <v>0.18003878196199999</v>
      </c>
      <c r="M14" s="83">
        <v>0.15412009840300001</v>
      </c>
      <c r="N14" s="83">
        <v>0.1657688540965</v>
      </c>
      <c r="O14" s="83">
        <v>0.1558102860385</v>
      </c>
    </row>
    <row r="15" spans="1:15" ht="15.75" customHeight="1" x14ac:dyDescent="0.25">
      <c r="B15" s="16" t="s">
        <v>68</v>
      </c>
      <c r="C15" s="80">
        <f>iron_deficiency_anaemia*C14</f>
        <v>0.22118922349504355</v>
      </c>
      <c r="D15" s="80">
        <f t="shared" ref="D15:O15" si="0">iron_deficiency_anaemia*D14</f>
        <v>0.2134879213559798</v>
      </c>
      <c r="E15" s="80">
        <f t="shared" si="0"/>
        <v>0.2134879213559798</v>
      </c>
      <c r="F15" s="80">
        <f t="shared" si="0"/>
        <v>9.6564424063037613E-2</v>
      </c>
      <c r="G15" s="80">
        <f t="shared" si="0"/>
        <v>9.6564424063037613E-2</v>
      </c>
      <c r="H15" s="80">
        <f t="shared" si="0"/>
        <v>0.18929022453368452</v>
      </c>
      <c r="I15" s="80">
        <f t="shared" si="0"/>
        <v>0.18929022453368452</v>
      </c>
      <c r="J15" s="80">
        <f t="shared" si="0"/>
        <v>0.18929022453368452</v>
      </c>
      <c r="K15" s="80">
        <f t="shared" si="0"/>
        <v>0.18929022453368452</v>
      </c>
      <c r="L15" s="80">
        <f t="shared" si="0"/>
        <v>9.2859894992801201E-2</v>
      </c>
      <c r="M15" s="80">
        <f t="shared" si="0"/>
        <v>7.9491629514597872E-2</v>
      </c>
      <c r="N15" s="80">
        <f t="shared" si="0"/>
        <v>8.5499791859994734E-2</v>
      </c>
      <c r="O15" s="80">
        <f t="shared" si="0"/>
        <v>8.0363389724483023E-2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0.18</v>
      </c>
      <c r="D2" s="81">
        <v>0.18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0.32899999999999996</v>
      </c>
      <c r="D3" s="81">
        <v>0.24600000000000002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0.308</v>
      </c>
      <c r="D4" s="81">
        <v>0.308</v>
      </c>
      <c r="E4" s="81">
        <v>0.48799999999999999</v>
      </c>
      <c r="F4" s="81">
        <v>0.52500000000000002</v>
      </c>
      <c r="G4" s="81">
        <v>0</v>
      </c>
    </row>
    <row r="5" spans="1:7" x14ac:dyDescent="0.25">
      <c r="B5" s="43" t="s">
        <v>169</v>
      </c>
      <c r="C5" s="80">
        <f>1-SUM(C2:C4)</f>
        <v>0.18300000000000005</v>
      </c>
      <c r="D5" s="80">
        <f>1-SUM(D2:D4)</f>
        <v>0.26600000000000001</v>
      </c>
      <c r="E5" s="80">
        <f>1-SUM(E2:E4)</f>
        <v>0.51200000000000001</v>
      </c>
      <c r="F5" s="80">
        <f>1-SUM(F2:F4)</f>
        <v>0.47499999999999998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0.10365000000000001</v>
      </c>
      <c r="D2" s="144">
        <v>0.10099</v>
      </c>
      <c r="E2" s="144">
        <v>9.8369999999999999E-2</v>
      </c>
      <c r="F2" s="144">
        <v>9.5820000000000002E-2</v>
      </c>
      <c r="G2" s="144">
        <v>9.325E-2</v>
      </c>
      <c r="H2" s="144">
        <v>9.078E-2</v>
      </c>
      <c r="I2" s="144">
        <v>8.8370000000000004E-2</v>
      </c>
      <c r="J2" s="144">
        <v>8.6069999999999994E-2</v>
      </c>
      <c r="K2" s="144">
        <v>8.385999999999999E-2</v>
      </c>
      <c r="L2" s="144">
        <v>8.1769999999999995E-2</v>
      </c>
      <c r="M2" s="144">
        <v>7.980000000000001E-2</v>
      </c>
      <c r="N2" s="144">
        <v>7.7920000000000003E-2</v>
      </c>
      <c r="O2" s="144">
        <v>7.6090000000000005E-2</v>
      </c>
      <c r="P2" s="144">
        <v>7.4310000000000001E-2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1.9720000000000001E-2</v>
      </c>
      <c r="D4" s="144">
        <v>1.9359999999999999E-2</v>
      </c>
      <c r="E4" s="144">
        <v>1.8970000000000001E-2</v>
      </c>
      <c r="F4" s="144">
        <v>1.8589999999999999E-2</v>
      </c>
      <c r="G4" s="144">
        <v>1.8169999999999999E-2</v>
      </c>
      <c r="H4" s="144">
        <v>1.7780000000000001E-2</v>
      </c>
      <c r="I4" s="144">
        <v>1.7410000000000002E-2</v>
      </c>
      <c r="J4" s="144">
        <v>1.7070000000000002E-2</v>
      </c>
      <c r="K4" s="144">
        <v>1.6750000000000001E-2</v>
      </c>
      <c r="L4" s="144">
        <v>1.6459999999999999E-2</v>
      </c>
      <c r="M4" s="144">
        <v>1.618E-2</v>
      </c>
      <c r="N4" s="144">
        <v>1.592E-2</v>
      </c>
      <c r="O4" s="144">
        <v>1.566E-2</v>
      </c>
      <c r="P4" s="144">
        <v>1.54E-2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0.12007747855727711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0.18929022453368452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8.3367073884421786E-2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0.17999999999999997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0.51266666666666671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10.504</v>
      </c>
      <c r="D13" s="143">
        <v>10.135</v>
      </c>
      <c r="E13" s="143">
        <v>9.7789999999999999</v>
      </c>
      <c r="F13" s="143">
        <v>9.4510000000000005</v>
      </c>
      <c r="G13" s="143">
        <v>9.1379999999999999</v>
      </c>
      <c r="H13" s="143">
        <v>8.8450000000000006</v>
      </c>
      <c r="I13" s="143">
        <v>8.5630000000000006</v>
      </c>
      <c r="J13" s="143">
        <v>8.2959999999999994</v>
      </c>
      <c r="K13" s="143">
        <v>8.0449999999999999</v>
      </c>
      <c r="L13" s="143">
        <v>7.7969999999999997</v>
      </c>
      <c r="M13" s="143">
        <v>7.52</v>
      </c>
      <c r="N13" s="143">
        <v>7.266</v>
      </c>
      <c r="O13" s="143">
        <v>7.0739999999999998</v>
      </c>
      <c r="P13" s="143">
        <v>6.8710000000000004</v>
      </c>
    </row>
    <row r="14" spans="1:16" x14ac:dyDescent="0.25">
      <c r="B14" s="16" t="s">
        <v>170</v>
      </c>
      <c r="C14" s="143">
        <f>maternal_mortality</f>
        <v>0.16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0.152</v>
      </c>
      <c r="E2" s="92">
        <f>food_insecure</f>
        <v>0.152</v>
      </c>
      <c r="F2" s="92">
        <f>food_insecure</f>
        <v>0.152</v>
      </c>
      <c r="G2" s="92">
        <f>food_insecure</f>
        <v>0.152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0.152</v>
      </c>
      <c r="F5" s="92">
        <f>food_insecure</f>
        <v>0.152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0.10284560932778847</v>
      </c>
      <c r="D7" s="92">
        <f>diarrhoea_1_5mo/26</f>
        <v>9.7776516787692294E-2</v>
      </c>
      <c r="E7" s="92">
        <f>diarrhoea_6_11mo/26</f>
        <v>9.7776516787692294E-2</v>
      </c>
      <c r="F7" s="92">
        <f>diarrhoea_12_23mo/26</f>
        <v>6.1548498577307702E-2</v>
      </c>
      <c r="G7" s="92">
        <f>diarrhoea_24_59mo/26</f>
        <v>6.1548498577307702E-2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0.152</v>
      </c>
      <c r="F8" s="92">
        <f>food_insecure</f>
        <v>0.152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0.59499999999999997</v>
      </c>
      <c r="E9" s="92">
        <f>IF(ISBLANK(comm_deliv), frac_children_health_facility,1)</f>
        <v>0.59499999999999997</v>
      </c>
      <c r="F9" s="92">
        <f>IF(ISBLANK(comm_deliv), frac_children_health_facility,1)</f>
        <v>0.59499999999999997</v>
      </c>
      <c r="G9" s="92">
        <f>IF(ISBLANK(comm_deliv), frac_children_health_facility,1)</f>
        <v>0.59499999999999997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0.10284560932778847</v>
      </c>
      <c r="D11" s="92">
        <f>diarrhoea_1_5mo/26</f>
        <v>9.7776516787692294E-2</v>
      </c>
      <c r="E11" s="92">
        <f>diarrhoea_6_11mo/26</f>
        <v>9.7776516787692294E-2</v>
      </c>
      <c r="F11" s="92">
        <f>diarrhoea_12_23mo/26</f>
        <v>6.1548498577307702E-2</v>
      </c>
      <c r="G11" s="92">
        <f>diarrhoea_24_59mo/26</f>
        <v>6.1548498577307702E-2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0.152</v>
      </c>
      <c r="I14" s="92">
        <f>food_insecure</f>
        <v>0.152</v>
      </c>
      <c r="J14" s="92">
        <f>food_insecure</f>
        <v>0.152</v>
      </c>
      <c r="K14" s="92">
        <f>food_insecure</f>
        <v>0.152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0.85099999999999998</v>
      </c>
      <c r="I17" s="92">
        <f>frac_PW_health_facility</f>
        <v>0.85099999999999998</v>
      </c>
      <c r="J17" s="92">
        <f>frac_PW_health_facility</f>
        <v>0.85099999999999998</v>
      </c>
      <c r="K17" s="92">
        <f>frac_PW_health_facility</f>
        <v>0.85099999999999998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0.26800000000000002</v>
      </c>
      <c r="M23" s="92">
        <f>famplan_unmet_need</f>
        <v>0.26800000000000002</v>
      </c>
      <c r="N23" s="92">
        <f>famplan_unmet_need</f>
        <v>0.26800000000000002</v>
      </c>
      <c r="O23" s="92">
        <f>famplan_unmet_need</f>
        <v>0.26800000000000002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0.16465689623263996</v>
      </c>
      <c r="M24" s="92">
        <f>(1-food_insecure)*(0.49)+food_insecure*(0.7)</f>
        <v>0.52191999999999994</v>
      </c>
      <c r="N24" s="92">
        <f>(1-food_insecure)*(0.49)+food_insecure*(0.7)</f>
        <v>0.52191999999999994</v>
      </c>
      <c r="O24" s="92">
        <f>(1-food_insecure)*(0.49)+food_insecure*(0.7)</f>
        <v>0.52191999999999994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7.0567241242559975E-2</v>
      </c>
      <c r="M25" s="92">
        <f>(1-food_insecure)*(0.21)+food_insecure*(0.3)</f>
        <v>0.22367999999999999</v>
      </c>
      <c r="N25" s="92">
        <f>(1-food_insecure)*(0.21)+food_insecure*(0.3)</f>
        <v>0.22367999999999999</v>
      </c>
      <c r="O25" s="92">
        <f>(1-food_insecure)*(0.21)+food_insecure*(0.3)</f>
        <v>0.22367999999999999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8.0258879524799973E-2</v>
      </c>
      <c r="M26" s="92">
        <f>(1-food_insecure)*(0.3)</f>
        <v>0.25439999999999996</v>
      </c>
      <c r="N26" s="92">
        <f>(1-food_insecure)*(0.3)</f>
        <v>0.25439999999999996</v>
      </c>
      <c r="O26" s="92">
        <f>(1-food_insecure)*(0.3)</f>
        <v>0.25439999999999996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0.68451698300000008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2020-03-24T06:50:51Z</dcterms:modified>
</cp:coreProperties>
</file>