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4C2AF388-C3C6-459A-9792-9F092651C36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I10" i="2" s="1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1" i="2"/>
  <c r="I9" i="2"/>
  <c r="I8" i="2"/>
  <c r="I7" i="2"/>
  <c r="I6" i="2"/>
  <c r="I5" i="2"/>
  <c r="I4" i="2"/>
  <c r="I3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C123E89F-DB27-4759-959F-4C4AAF7D3B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A967FE9-153B-4DA6-B31D-D905F3D6951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4A5F7920-CF44-4D48-BED5-C25FCE0250A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CB53DEB-39FB-4E96-B212-65C5BDBC6CD0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C1E5295F-84EB-4F84-A856-6D2A332F407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ED5F10F5-984E-4777-BF73-2CAB5A6D72B6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6E17DD4E-ED58-4052-AD90-3AE6F75EA58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4E708501-B9EC-4856-A2B0-A44982CA61B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F3C79AB-4FF9-4985-AA9E-DD3ED30A145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63B5AF2D-E060-4D5F-B291-C58528B2C40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65176AE-A6DD-4F54-91BA-91DC3C4BD61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56C12EA2-8E05-4B94-BAF9-46DC8468DC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BD0AD9D2-31CA-4375-B22F-0BAAE92B4D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CA0CB44-6559-4474-8FF9-F930DD93349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CBABF4E5-79CC-4909-97C6-1812732C074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070B22A-E6A4-4B8B-BCC5-42F2BF4C40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B3165CA-55D2-4377-809F-DC165F76304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49D90AB-B209-4B01-A467-778BF98AE2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54B0526-8315-4888-A5DC-1F7AF8C231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EBE2D497-4C7B-4C3A-9328-229E0F62B4D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A797BBB-8834-4651-A307-F2350E5DC68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DC508194-42BC-4F80-B2FA-AFE5D111472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51ED00A-B5F0-4F80-9E69-F5F5B23601BB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73C82547-6A8B-4700-899F-B0825BBE9B3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C027098C-E1F9-40CC-9189-188AD4FD5A7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54F0CD4E-74BD-4537-A13E-E37390DAD6E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447945B5-BFCC-463B-87BA-52E34A6FB87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170AF8E-C870-4258-894F-E08630108B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758CA24B-3634-4C5B-80D8-E77FA5F2C8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B9B13909-B551-4F62-8FF4-37F99ED8DE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94B6A7C-EB4C-4686-92B2-058C1DA0A6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4FC69E8-3E81-4407-8044-881BCE8509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FBB89B0-B936-4DF0-83EF-5D7BC7B84D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B858815C-9D59-4513-A12A-57238975CBFC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2BABDA20-9F60-421B-AFC9-04663DD4258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FE9FBE0-CF24-44BA-934A-E574F47FEF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61B8369-C1D7-4D72-8699-9187FE9053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B53B136A-9C65-4478-A116-87D0CCF287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5B24BE14-F16A-456C-BF5A-E6D1506312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F57C4D72-50E7-42FD-B2ED-C2028B2554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CC045AE9-914F-4B3F-B861-C6675EA2F2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681974D-EB76-4784-8C0D-0E94070C7C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77DB37AF-8422-4B4F-BE05-BC8D8325A4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04D2C062-22FA-410D-9EBE-C7D6130D9E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0AA2DC7-A520-48EB-8752-FB9F1067B3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07E6367-A48A-423D-ADDD-77816117C2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ECD59C6C-EB34-410C-8401-247E4CFFEC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662971B-34F1-42FB-A3AE-38E3A5251A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2DE69403-44CD-4C1C-8F06-F3B8C95387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47913B62-4C8F-43B1-9473-BC61BCD8C8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F8FBBE85-4DE1-4FA5-A739-39F9BF68A6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0008D07B-AE3E-4FFC-AA27-8BB3CE5E22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A595D7E8-35C4-4AEC-B5DC-BD1E127C2E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ED4EA093-243D-4993-8FDB-F167E060A2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073B9403-449E-4975-BE47-D1E78449B3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E6A40CA-B302-4CAE-B86E-E3BB357655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F54D7A9-37D4-40C9-B76B-F0C19D2596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08FB1FF-7A0C-4B8A-967F-ACD6AAED83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8FC372C2-BD61-480D-8A18-39B106229D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7293421C-147C-4F59-84CB-0EE1159360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97CE6FD-52E4-4FC3-AAC4-8F561300F6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8A27A4A-8F8F-4589-8557-1E0E893734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E627AB7-135B-4334-BC10-21FD8CC72F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CF0FDEF-904B-43C9-9922-67F6FA5C7C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45E49D6A-F5C3-4CE4-AC04-45A304F84B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6A9F7FA7-EED6-4C69-93C5-13AAD82B90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8439C89-ECB6-4912-8A1F-36F2347311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67BD4A93-F9B4-4A81-8B08-A1B7AA66EE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C980B886-41DA-4ED0-969C-29FBDB6301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248D61BB-D8FA-4740-AEB4-831A87F5E0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E755836D-CFF3-47E9-A1D7-FD6C68D2B7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75F7F77-A722-4B26-9597-4B6FD76B0A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F19830AF-97FB-40B1-A431-55E6C77306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26CB50D1-92F6-4B95-9AEC-7DBD85935F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660503C-9400-4AA7-BC73-965FEF65EA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8C0F994A-8C3F-4084-BF98-4F5D79993C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8008EA14-C9F0-4D33-B6DD-1E6C9BEA30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45DF2DD2-AC88-4817-9C3C-9CABB3F0BB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7295463-923C-41D3-B2DF-A170DB52DE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BF59996E-AB80-4477-8866-66353C0045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3DA6CD61-E7C6-4C32-B858-AE436FEAB3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77EA3B7-03C3-42C2-8BC3-8769174EC9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CDB2A0D2-56C5-466F-A45D-A062FC1F71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BAB3360A-3C90-491B-9D42-63DF944384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F026BD1D-84F9-4DFF-B2BC-DFFA3326DD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8900773-CBA7-4683-9990-349019DDBE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F120F52E-4CF8-427E-BD40-38C23DB8C0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1CA3DD6E-57D7-4679-A9DB-419AA96955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4C1C96AB-3D76-469E-803F-ED4AA9581C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C30BA5C0-49FA-4C83-B117-E160C46B96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44636F69-6B47-418D-8569-8ABD7D87E6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3B4BF3B-D31B-4AE5-8BE6-B826182B3A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2D5D10F-50F1-4E11-9B79-96199D0258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E44A7C6E-374B-426C-9F26-ADFEB0D3B0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3E9C119-8BA8-4D19-8A15-DD570021BC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A56EF81C-F459-4629-8EE3-D608E7921E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63C5BADB-8173-47F9-BA1C-A4E7053C62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8FE049E-35E0-4FAB-BB94-9250F02107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3BCD6A4-90F4-40DB-B363-D65150BB6A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6CAD571E-5446-4386-A19F-D70D2629D5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CE142E04-4DD5-4CC3-9414-AAF8B7281D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829AF8A8-DDF5-4AC4-ACC4-1E880A6D1F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7AC8394-D504-4221-BA09-718CA8FE72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3D71BAF-2993-4089-A860-7719B0D324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C490EF33-B353-4B3F-B1BC-DAD033A900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43169102-F960-4DEA-8B84-569E6E84DD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102B94F-8286-4EDB-8A75-F5A5DFC6A8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E149CA7-3998-4F16-9510-9BAC4FCC85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5597E2E8-A931-4BF9-AB74-6A5D7F486F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259519DE-E22A-40EF-9195-59D8407AB6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EE2E6A51-0826-4252-BAC8-905FBBE80B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578D4B83-42A7-417E-BBE6-67C369240B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76296955-3558-44F5-8A36-E92DCF2DE0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A87AF9C-1784-4DD8-B547-4C90C31D6EE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4E0DAD6-E45F-4264-9673-0F5AF5C712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EA4E2FE-5723-4F7A-83AF-FDDF3E9DFD4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7FC2FEB-29DF-4EDA-9C16-440E57CECF4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A17D6537-4BE3-46CF-916A-75139098C4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DE705A3-3FBB-4775-AF96-0569207226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BBC9601-79C8-4F1F-B915-AEAA178EEC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6D4F32F-5DC4-477B-AC26-E9E241CBFFA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48703B7-60F6-491D-8F68-31706B1A88A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C82CDD0-E1B7-43DA-BAD8-FF5D8815DA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9A85E9D-777F-4F1F-8320-E520D2A3A38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5C77C264-FE46-4063-AF39-9CAD21B47A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DEC85B5D-A54C-4B71-AB78-5AEA306766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173834DC-317F-4A99-B386-926E9AC746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58866FF9-F3F2-436B-9431-B21B6AC58F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B88BD910-6032-44C5-8930-6B905A99A24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3E064508-AD39-4905-8B51-1DF9B3C7A8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AB96287-11A4-4582-8ECE-9559DDB714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98B0F8CD-2B1A-4E38-B435-C4E9670293F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A76713BD-5EC6-4F35-B2ED-E7AF264F16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57E25C59-90B7-4ABC-8994-A23537243F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2506B8A0-46ED-4FC7-B17C-260CB71776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E0F64731-A145-498A-84C0-CD8F0C745F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D98DB940-A0A5-43BF-A3FF-A77C219C21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BB9C53B5-291F-4D66-9645-BCD010BA5E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7438C9C-0AE3-4C23-8991-A3A2C6F4A60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47AB61B-177A-456B-AAE4-D555FF4DBD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1B8CCAFE-C222-426C-9429-B030E70CADC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A478BD6-138E-4D46-A573-951B7BB1FBA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8FD28AC5-7567-40C1-9574-1E555705E4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58B2301-31D2-48D4-A1B5-330D3263FD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9645964-3CFD-44C9-A606-0E1B08DB236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155AD708-2DE4-4677-ABF3-640972B9C2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7E260A26-F0A3-4255-8AEC-9B4E7CDBAA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FBE837A-0BC4-487D-AF6D-E4971C3286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6B41379-E11D-47F2-8EFD-52A0D0C614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450B2697-1DC4-4E2B-B0B4-89BA07F518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1F162CDD-E6A6-43F7-B2E0-23A9AB85F4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E86751C-5884-4B34-AD6A-977A1690CF5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785D5A6-1511-424E-A209-658813DE11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E356D65-1643-4B05-B39C-AFEFC00A13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848DC9F-646D-488C-A399-5862C2DB76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65572F1-DDA2-449E-88C0-BCBDD2139A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128B29D3-3654-4E6F-B617-447E23D0F5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9A8CB876-4EF9-479B-9AF0-71C183BABA4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570E465-E99F-4C81-A238-C45326E36D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8744314A-4C75-45FD-AE0F-A893588B27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ADA4E26A-0808-493F-B202-A13AEC651E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F9EFB515-A4C6-4AB6-A8F4-88BD576047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A977B92C-34C4-498F-BA19-4DCEC97AD3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0B8AF9A2-8680-4A58-9BF7-8D52AC19C4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64C234C-9726-468A-9BF4-5DEF1E2151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4EC58E27-4738-4E49-A5AD-3CB4B4E7A5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DA341B26-A4C2-4282-8BA8-C58309AA61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DBA4EB3C-9AF4-41AC-AF1C-0A01229D80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D90D9660-F285-4353-811C-A37CD3ABE4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D9349FE-1B70-4164-97E6-3D7726BECB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1B1F669A-49E3-4735-B153-88AF447F91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3C8047B-9891-4F61-A287-C39252A98D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E2816E9B-93A6-4BF3-A9AE-B3B97F038A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6CE05F61-962C-4565-A25E-42BB6063A0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63BB7E44-7BD1-415A-AE75-984C285E9A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E82CC744-A1E8-4890-ACDF-ACEB382351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865794F9-8054-422B-A985-30905A9BAA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317E86B9-17AB-4E17-942D-94DF65EB2C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40914808-13E7-4666-B97A-94678B496D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52815541-FA81-4C76-8158-7A1759905A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BFD2C10E-518F-4756-B78D-C53FD110AF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9D585895-BB82-4C35-A8F0-AF511EEA2C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39C17212-2420-495D-8A92-3EC01A46C9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C83A53DF-5333-49DD-BF2E-C05B735142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E59FD7B0-8D7A-4E1B-B4F4-F7F635C63A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353B4785-0029-469D-AE86-A5E9BA70BA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0D08D7C-65E1-4E19-803A-43B2162181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8991F60-E3AE-48CE-B543-1BD16F126B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1722394-F406-4F43-A8FB-E1BB8A7B99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13C01ACB-804D-44D6-8558-2F17F9C183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3D65C371-4D04-4461-82FE-9D4ABB7AFB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98D4C559-ACB6-4FBE-B100-16D4892B47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08FA3180-59B1-481D-A4E1-F1CC6BFE47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76A604C-70BF-46B0-81CE-38245C91F5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A09A30B7-6DFD-4F31-A25B-7F70C6C4CF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0874F8C-433B-4161-B2FA-31778EB1CE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7D2E36ED-92BE-4C8C-96F7-A7459F8146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F2B28C96-9347-4B2F-A8F1-6AF34CA071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28403E89-4F53-45F9-B52E-5C6C585162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3D693F52-AF34-4CD4-AF8F-8890263956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9B49F3C-3E42-4186-8F4C-2C9B7B75C59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026DC781-0E51-4DE7-819C-8801360D91B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49D3F9A8-9D99-4D5C-BF86-3FECA18C689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30D467E-DE88-4F22-8602-9757D01E81A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A7BD6079-4EF8-4872-BBE0-7BB9CBCA16A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940D0528-FB74-4E1E-86F6-A5794A822A7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7DF3BE44-AAAC-4961-B7D8-E1729EDF6F1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E00DBEF6-1D2E-4807-852D-14AC12DA29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1180BA4-EF8F-4E0D-AEF0-3F5899E48D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4A6AD136-554F-4705-8121-456DF44044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65FD8DF9-1A12-47A3-8619-1123D46152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2E83FFE-6948-4428-A805-FD65A4359D1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33C1908D-AAB3-412C-9FB2-DC0E5672508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4527D594-8024-444A-A3BE-A28BAE7A617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5FA16BA1-B45B-4E96-85C8-EB9BA866D8B3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0EB32FC4-900D-4C5C-A422-541BEE54237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5AE1AAEF-C00C-4880-93CA-ADFA773FC57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47BC8ECF-A416-413D-A28B-899590E8437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32A13B85-71C4-4DAE-BC2C-E78017CCF71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571BAC3-C696-415D-9A4E-3A320A7097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ACB3036-3B0D-4D4D-9350-3B77A10FE4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D93B637-B73B-49D6-8CE4-9A799525AD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E55C4164-4C1E-41DD-93FD-8CEC8E37EC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994BBAD-3A70-489D-A174-62F3A26DC4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57DDB886-5086-4F73-AB1F-6FFC2BF2CE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6410288-4387-4083-8518-94F2E62D71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1A688A03-6332-4109-8982-CD9C7ADA2C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B410335-1DB5-4CFF-9801-77667E9928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20156471-BBE9-4658-80F3-1EBD308C72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A255834B-3D27-4246-A905-81585FDD4A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ACF91E6A-E622-4D7F-B29F-FF2F1016A1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F26D83B-00FC-4EE0-B2FA-766D2980E0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5F60B964-8665-433C-95D8-271DDC8610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E3042B7-74B9-4A4C-8A53-CB010B3BC7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60D54DD7-A546-4225-848A-D22C543F4A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342F691-A8F5-47D8-B592-E482805E15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1E6712E5-009B-4FD3-9D22-DE75F07CB1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172A0FB-3AEC-40F8-8B7B-46BC16CA69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E1DBA8D-3920-4A15-B481-24A0E750DA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D6631D19-DE7F-4D75-9CF5-148717F11A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026F14F-E829-4B3F-BE23-473EE5068F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4992B28-9980-4F14-B9F3-FA1FE158B1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8088BEA-A970-4F5C-BF62-52E14E3C0E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630D5FC0-D327-49A3-95AF-F3666E094B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FBF16406-0656-4D92-A154-A34254648E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6080A7F-E1CD-46D6-89AE-95B974746B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153CEA69-C00B-4D47-852C-961FA96EB2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F3EF179-5166-4733-8AB7-1BD7F94497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E31584B-0ADA-459E-92DF-1EFA16AB91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C6FAB21F-192E-4341-9861-46C0C0E4F5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689C51E6-E10C-45D0-9E58-347D060D19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A9119E1-97D1-49A0-A0CF-7BFA117E44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553C6061-2C56-4070-80BD-FE7665413E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96E12402-3E6F-48DE-8075-FFB1D128A6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D7B83D5-9FE3-4B8F-ADDE-E1F61023AE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159021A3-CA6C-4A90-8527-E3B628730E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49125599-BF7D-4415-9A30-DB06723CAC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5BE0D01-E92B-4018-8584-502B636615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30389099-1247-4408-9156-09297E1E83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7019CE99-57E6-49A2-BED8-6B07ED14CD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78CE6C5E-A32E-4A5A-A0FA-FA9DC76C66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4E4D2DA-3314-401A-9516-06785BBAEA1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C6CC99A8-BD93-498B-9CA3-DC9D07E7403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CE9C6AB-2704-4CBB-8986-90B70873EF0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9CBC72AD-B5E8-49E1-8308-9572DC923B5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82355143-7AA3-4C66-9A31-7AB637A20B83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4E83CC7F-15CA-4687-B918-384FE930785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4162858D-5356-4A2F-8400-930EB6BBAA3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F66E032-ABB5-4665-A677-815AA401B5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A8C4E26A-E07C-44AA-B392-99CAF704F4D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33FD11C4-825B-42DB-81C6-9F386A9C312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D6ACED3-26D7-47DB-83FB-DD49C7E4D68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9522347A-21A0-4A4E-B2E8-3698735EF1F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D3E5479E-37ED-4EC2-BF4C-2DDBD9ADC5A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6BDB344-86F5-4D9D-BE1F-A305D929E7D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130D7DD-1BBA-4DE6-9E03-31DC4D79BEB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755FB70-D774-440E-8DC7-89DBE9F9D53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35317970-6374-49D8-AC05-B4FCE568120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3DF60677-DDEF-485E-99B3-F23158F89C9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8A29F12-10C2-4000-810C-5FCA7109720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60E4598-6B14-4690-A114-A2555D97E83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BB764152-48C6-4E7B-BF80-8FB597D998C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8E4C4377-8D38-4E9F-979E-0D228CEA6C9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B2972242-1E34-4A83-B42B-F525ABE2D3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5E6E7F9B-EDF7-4E5D-927B-8EE6D37D413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D1743A4D-306B-4E01-8420-D39915DDFA1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3D591D9E-B422-4604-8BB5-653ABAEE1B0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B16A6060-9A92-46B5-89BF-3C82A284820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938F8FFD-6BB2-4FBE-8AA3-0E68DEC34952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E2D3191A-9308-4C2C-B8F8-161E9AFD75C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B676A57D-D078-434B-A260-E5626E9A262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9E9B9374-4F76-44C6-B210-0E2EF65C87C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208B720-59CC-4951-9275-1A49DFF7AE6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C1819E4A-5FAA-4713-904E-A03427CA839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B38529E-43C0-43EB-9F76-54A8A7E4200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A0929A11-A294-48B1-8240-0F09B78162C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C149B18-B0D3-4292-94EB-B5B63B192F7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CCB4887-49B6-44CB-99EC-3D2108E3A95F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B894C70E-C40C-435A-9274-A5D5B40DE3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A8F2304-B127-4C65-8F9E-6F2353BAFE7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26282CD-FE09-437A-8B92-9642996ACD8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53C3690C-B007-4D77-BF56-AE1906F066F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DFE447E-C1D9-4536-A578-6FD5EFF5B6F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3217A414-A50C-40E8-B179-C0D922B69D2A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315BBF9-4883-498D-ABBA-580EAF6602C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F0473747-2C15-4FD4-A561-D37DCA10B4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B3084BA-B6E4-4689-9064-7F326FC692F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1AABBE62-BDA9-46BB-AB8E-8FEE09988EE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520C350A-25B1-4659-903D-E6AE552A716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13FE43A-1F2B-4147-849B-0F275A3D061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7A93B17-CFE3-4B55-AC94-E5035B089C4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D6B81D39-E570-48E9-90CC-CDFC23B2116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2457EC59-D545-4210-A707-727C78F763A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540EE00F-9A10-46D2-B2C6-AD8F833C322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97BF3DF8-0847-4028-A7D5-44B967A02A8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1BCC35A-4359-47D0-84B4-2F8BB6C74E4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DA3BCF6-F66F-47E3-91BF-F9175F07D3D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02291BD4-705B-490A-978B-9D27FFFFBF1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C088F7E8-165A-4934-B3C6-87AA8526F27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B111B85B-1D9A-4E94-8ED6-27FBB6DA2B6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BDCF0BF0-7814-4973-A3B5-A282877D017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792D1399-C669-4496-A048-915231C0E54D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FF75EE70-2243-4B70-83C5-85CF43E8279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<sst xmlns="http://schemas.openxmlformats.org/spreadsheetml/2006/main" count="1102" uniqueCount="271">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</sst>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7881615</v>
      </c>
    </row>
    <row r="8" spans="1:3" ht="15" customHeight="1" x14ac:dyDescent="0.25">
      <c r="B8" s="7" t="s">
        <v>106</v>
      </c>
      <c r="C8" s="70">
        <v>0.214</v>
      </c>
    </row>
    <row r="9" spans="1:3" ht="15" customHeight="1" x14ac:dyDescent="0.25">
      <c r="B9" s="9" t="s">
        <v>107</v>
      </c>
      <c r="C9" s="71">
        <v>0.73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0.59899999999999998</v>
      </c>
    </row>
    <row r="12" spans="1:3" ht="15" customHeight="1" x14ac:dyDescent="0.25">
      <c r="B12" s="7" t="s">
        <v>109</v>
      </c>
      <c r="C12" s="70">
        <v>0.8</v>
      </c>
    </row>
    <row r="13" spans="1:3" ht="15" customHeight="1" x14ac:dyDescent="0.25">
      <c r="B13" s="7" t="s">
        <v>110</v>
      </c>
      <c r="C13" s="70">
        <v>0.501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0.10880000000000001</v>
      </c>
    </row>
    <row r="24" spans="1:3" ht="15" customHeight="1" x14ac:dyDescent="0.25">
      <c r="B24" s="20" t="s">
        <v>102</v>
      </c>
      <c r="C24" s="71">
        <v>0.53739999999999999</v>
      </c>
    </row>
    <row r="25" spans="1:3" ht="15" customHeight="1" x14ac:dyDescent="0.25">
      <c r="B25" s="20" t="s">
        <v>103</v>
      </c>
      <c r="C25" s="71">
        <v>0.29330000000000001</v>
      </c>
    </row>
    <row r="26" spans="1:3" ht="15" customHeight="1" x14ac:dyDescent="0.25">
      <c r="B26" s="20" t="s">
        <v>104</v>
      </c>
      <c r="C26" s="71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0.17800000000000002</v>
      </c>
    </row>
    <row r="30" spans="1:3" ht="14.25" customHeight="1" x14ac:dyDescent="0.25">
      <c r="B30" s="30" t="s">
        <v>76</v>
      </c>
      <c r="C30" s="73">
        <v>7.2999999999999995E-2</v>
      </c>
    </row>
    <row r="31" spans="1:3" ht="14.25" customHeight="1" x14ac:dyDescent="0.25">
      <c r="B31" s="30" t="s">
        <v>77</v>
      </c>
      <c r="C31" s="73">
        <v>0.17100000000000001</v>
      </c>
    </row>
    <row r="32" spans="1:3" ht="14.25" customHeight="1" x14ac:dyDescent="0.25">
      <c r="B32" s="30" t="s">
        <v>78</v>
      </c>
      <c r="C32" s="73">
        <v>0.57800000001490115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20.2</v>
      </c>
    </row>
    <row r="38" spans="1:5" ht="15" customHeight="1" x14ac:dyDescent="0.25">
      <c r="B38" s="16" t="s">
        <v>91</v>
      </c>
      <c r="C38" s="75">
        <v>35.4</v>
      </c>
      <c r="D38" s="17"/>
      <c r="E38" s="18"/>
    </row>
    <row r="39" spans="1:5" ht="15" customHeight="1" x14ac:dyDescent="0.25">
      <c r="B39" s="16" t="s">
        <v>90</v>
      </c>
      <c r="C39" s="75">
        <v>49</v>
      </c>
      <c r="D39" s="17"/>
      <c r="E39" s="17"/>
    </row>
    <row r="40" spans="1:5" ht="15" customHeight="1" x14ac:dyDescent="0.25">
      <c r="B40" s="16" t="s">
        <v>171</v>
      </c>
      <c r="C40" s="75">
        <v>0.24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2.18E-2</v>
      </c>
      <c r="D45" s="17"/>
    </row>
    <row r="46" spans="1:5" ht="15.75" customHeight="1" x14ac:dyDescent="0.25">
      <c r="B46" s="16" t="s">
        <v>11</v>
      </c>
      <c r="C46" s="71">
        <v>0.1139</v>
      </c>
      <c r="D46" s="17"/>
    </row>
    <row r="47" spans="1:5" ht="15.75" customHeight="1" x14ac:dyDescent="0.25">
      <c r="B47" s="16" t="s">
        <v>12</v>
      </c>
      <c r="C47" s="71">
        <v>0.22320000000000001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3.20864924895</v>
      </c>
      <c r="D51" s="17"/>
    </row>
    <row r="52" spans="1:4" ht="15" customHeight="1" x14ac:dyDescent="0.25">
      <c r="B52" s="16" t="s">
        <v>125</v>
      </c>
      <c r="C52" s="76">
        <v>3.0063933079599896</v>
      </c>
    </row>
    <row r="53" spans="1:4" ht="15.75" customHeight="1" x14ac:dyDescent="0.25">
      <c r="B53" s="16" t="s">
        <v>126</v>
      </c>
      <c r="C53" s="76">
        <v>3.0063933079599896</v>
      </c>
    </row>
    <row r="54" spans="1:4" ht="15.75" customHeight="1" x14ac:dyDescent="0.25">
      <c r="B54" s="16" t="s">
        <v>127</v>
      </c>
      <c r="C54" s="76">
        <v>1.95806134333</v>
      </c>
    </row>
    <row r="55" spans="1:4" ht="15.75" customHeight="1" x14ac:dyDescent="0.25">
      <c r="B55" s="16" t="s">
        <v>128</v>
      </c>
      <c r="C55" s="76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0.4883266131707833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35.298790342981114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42.462736160777624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58.038353853841244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0.22713236215602647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1.0399376027881835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1.0399376027881835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1.0399376027881835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1.0399376027881835</v>
      </c>
      <c r="E13" s="86" t="s">
        <v>202</v>
      </c>
    </row>
    <row r="14" spans="1:5" ht="15.75" customHeight="1" x14ac:dyDescent="0.25">
      <c r="A14" s="11" t="s">
        <v>187</v>
      </c>
      <c r="B14" s="85">
        <v>0.22600000000000001</v>
      </c>
      <c r="C14" s="85">
        <v>0.95</v>
      </c>
      <c r="D14" s="86">
        <v>13.48044806079821</v>
      </c>
      <c r="E14" s="86" t="s">
        <v>202</v>
      </c>
    </row>
    <row r="15" spans="1:5" ht="15.75" customHeight="1" x14ac:dyDescent="0.25">
      <c r="A15" s="11" t="s">
        <v>209</v>
      </c>
      <c r="B15" s="85">
        <v>0.22600000000000001</v>
      </c>
      <c r="C15" s="85">
        <v>0.95</v>
      </c>
      <c r="D15" s="86">
        <v>13.48044806079821</v>
      </c>
      <c r="E15" s="86" t="s">
        <v>202</v>
      </c>
    </row>
    <row r="16" spans="1:5" ht="15.75" customHeight="1" x14ac:dyDescent="0.25">
      <c r="A16" s="52" t="s">
        <v>57</v>
      </c>
      <c r="B16" s="85">
        <v>0.45899999999999996</v>
      </c>
      <c r="C16" s="85">
        <v>0.95</v>
      </c>
      <c r="D16" s="86">
        <v>0.21968425772577188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0.30199999999999999</v>
      </c>
      <c r="C18" s="85">
        <v>0.95</v>
      </c>
      <c r="D18" s="87">
        <v>1.4452504614591215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1.4452504614591215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1.4452504614591215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1.9139343807497731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22.971512023357807</v>
      </c>
      <c r="E22" s="86" t="s">
        <v>202</v>
      </c>
    </row>
    <row r="23" spans="1:5" ht="15.75" customHeight="1" x14ac:dyDescent="0.25">
      <c r="A23" s="52" t="s">
        <v>34</v>
      </c>
      <c r="B23" s="85">
        <v>0.80799999999999994</v>
      </c>
      <c r="C23" s="85">
        <v>0.95</v>
      </c>
      <c r="D23" s="86">
        <v>4.4240020217934282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19.479513896614868</v>
      </c>
      <c r="E24" s="86" t="s">
        <v>202</v>
      </c>
    </row>
    <row r="25" spans="1:5" ht="15.75" customHeight="1" x14ac:dyDescent="0.25">
      <c r="A25" s="52" t="s">
        <v>87</v>
      </c>
      <c r="B25" s="85">
        <v>0.42100000000000004</v>
      </c>
      <c r="C25" s="85">
        <v>0.95</v>
      </c>
      <c r="D25" s="86">
        <v>19.479555584691045</v>
      </c>
      <c r="E25" s="86" t="s">
        <v>202</v>
      </c>
    </row>
    <row r="26" spans="1:5" ht="15.75" customHeight="1" x14ac:dyDescent="0.25">
      <c r="A26" s="52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3.8532380707287031</v>
      </c>
      <c r="E27" s="86" t="s">
        <v>202</v>
      </c>
    </row>
    <row r="28" spans="1:5" ht="15.75" customHeight="1" x14ac:dyDescent="0.25">
      <c r="A28" s="52" t="s">
        <v>84</v>
      </c>
      <c r="B28" s="85">
        <v>0.46700000000000003</v>
      </c>
      <c r="C28" s="85">
        <v>0.95</v>
      </c>
      <c r="D28" s="86">
        <v>1.2998260860883066</v>
      </c>
      <c r="E28" s="86" t="s">
        <v>202</v>
      </c>
    </row>
    <row r="29" spans="1:5" ht="15.75" customHeight="1" x14ac:dyDescent="0.25">
      <c r="A29" s="52" t="s">
        <v>58</v>
      </c>
      <c r="B29" s="85">
        <v>0.30199999999999999</v>
      </c>
      <c r="C29" s="85">
        <v>0.95</v>
      </c>
      <c r="D29" s="86">
        <v>61.768801095950799</v>
      </c>
      <c r="E29" s="86" t="s">
        <v>202</v>
      </c>
    </row>
    <row r="30" spans="1:5" ht="15.75" customHeight="1" x14ac:dyDescent="0.25">
      <c r="A30" s="52" t="s">
        <v>67</v>
      </c>
      <c r="B30" s="85">
        <v>2.7999999999999997E-2</v>
      </c>
      <c r="C30" s="85">
        <v>0.95</v>
      </c>
      <c r="D30" s="86">
        <v>0.95745752850980892</v>
      </c>
      <c r="E30" s="86" t="s">
        <v>202</v>
      </c>
    </row>
    <row r="31" spans="1:5" ht="15.75" customHeight="1" x14ac:dyDescent="0.25">
      <c r="A31" s="52" t="s">
        <v>28</v>
      </c>
      <c r="B31" s="85">
        <v>0.65149999999999997</v>
      </c>
      <c r="C31" s="85">
        <v>0.95</v>
      </c>
      <c r="D31" s="86">
        <v>0.41454246308118348</v>
      </c>
      <c r="E31" s="86" t="s">
        <v>202</v>
      </c>
    </row>
    <row r="32" spans="1:5" ht="15.75" customHeight="1" x14ac:dyDescent="0.25">
      <c r="A32" s="52" t="s">
        <v>83</v>
      </c>
      <c r="B32" s="85">
        <v>0.27399999999999997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0.76300000000000001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0.191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0.05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0.40299999999999997</v>
      </c>
      <c r="C37" s="85">
        <v>0.95</v>
      </c>
      <c r="D37" s="86">
        <v>3.9315280454264041</v>
      </c>
      <c r="E37" s="86" t="s">
        <v>202</v>
      </c>
    </row>
    <row r="38" spans="1:6" ht="15.75" customHeight="1" x14ac:dyDescent="0.25">
      <c r="A38" s="52" t="s">
        <v>60</v>
      </c>
      <c r="B38" s="85">
        <v>0.40299999999999997</v>
      </c>
      <c r="C38" s="85">
        <v>0.95</v>
      </c>
      <c r="D38" s="86">
        <v>0.43732732927004841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7.7486273800000005E-2</v>
      </c>
      <c r="C3" s="26">
        <f>frac_mam_1_5months * 2.6</f>
        <v>7.7486273800000005E-2</v>
      </c>
      <c r="D3" s="26">
        <f>frac_mam_6_11months * 2.6</f>
        <v>0.1442652042</v>
      </c>
      <c r="E3" s="26">
        <f>frac_mam_12_23months * 2.6</f>
        <v>6.9749016999999996E-2</v>
      </c>
      <c r="F3" s="26">
        <f>frac_mam_24_59months * 2.6</f>
        <v>3.4096618833333335E-2</v>
      </c>
    </row>
    <row r="4" spans="1:6" ht="15.75" customHeight="1" x14ac:dyDescent="0.25">
      <c r="A4" s="3" t="s">
        <v>66</v>
      </c>
      <c r="B4" s="26">
        <f>frac_sam_1month * 2.6</f>
        <v>0.1188206864</v>
      </c>
      <c r="C4" s="26">
        <f>frac_sam_1_5months * 2.6</f>
        <v>0.1188206864</v>
      </c>
      <c r="D4" s="26">
        <f>frac_sam_6_11months * 2.6</f>
        <v>8.3215704000000001E-2</v>
      </c>
      <c r="E4" s="26">
        <f>frac_sam_12_23months * 2.6</f>
        <v>3.4063676399999999E-2</v>
      </c>
      <c r="F4" s="26">
        <f>frac_sam_24_59months * 2.6</f>
        <v>1.2546175633333333E-2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1785799.4191539998</v>
      </c>
      <c r="C2" s="78">
        <v>2399891</v>
      </c>
      <c r="D2" s="78">
        <v>3593864</v>
      </c>
      <c r="E2" s="78">
        <v>3609299</v>
      </c>
      <c r="F2" s="78">
        <v>3222656</v>
      </c>
      <c r="G2" s="22">
        <f t="shared" ref="G2:G40" si="0">C2+D2+E2+F2</f>
        <v>12825710</v>
      </c>
      <c r="H2" s="22">
        <f t="shared" ref="H2:H40" si="1">(B2 + stillbirth*B2/(1000-stillbirth))/(1-abortion)</f>
        <v>2081365.8593813009</v>
      </c>
      <c r="I2" s="22">
        <f>G2-H2</f>
        <v>10744344.140618699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1823552.004</v>
      </c>
      <c r="C3" s="78">
        <v>2488000</v>
      </c>
      <c r="D3" s="78">
        <v>3727000</v>
      </c>
      <c r="E3" s="78">
        <v>3614000</v>
      </c>
      <c r="F3" s="78">
        <v>3260000</v>
      </c>
      <c r="G3" s="22">
        <f t="shared" si="0"/>
        <v>13089000</v>
      </c>
      <c r="H3" s="22">
        <f t="shared" si="1"/>
        <v>2125366.8487192215</v>
      </c>
      <c r="I3" s="22">
        <f t="shared" ref="I3:I15" si="3">G3-H3</f>
        <v>10963633.151280779</v>
      </c>
    </row>
    <row r="4" spans="1:9" ht="15.75" customHeight="1" x14ac:dyDescent="0.25">
      <c r="A4" s="7">
        <f t="shared" si="2"/>
        <v>2019</v>
      </c>
      <c r="B4" s="77">
        <v>1861316.4533333334</v>
      </c>
      <c r="C4" s="78">
        <v>2577000</v>
      </c>
      <c r="D4" s="78">
        <v>3864000</v>
      </c>
      <c r="E4" s="78">
        <v>3601000</v>
      </c>
      <c r="F4" s="78">
        <v>3301000</v>
      </c>
      <c r="G4" s="22">
        <f t="shared" si="0"/>
        <v>13343000</v>
      </c>
      <c r="H4" s="22">
        <f t="shared" si="1"/>
        <v>2169381.6662276583</v>
      </c>
      <c r="I4" s="22">
        <f t="shared" si="3"/>
        <v>11173618.333772343</v>
      </c>
    </row>
    <row r="5" spans="1:9" ht="15.75" customHeight="1" x14ac:dyDescent="0.25">
      <c r="A5" s="7">
        <f t="shared" si="2"/>
        <v>2020</v>
      </c>
      <c r="B5" s="77">
        <v>1899128.2479999999</v>
      </c>
      <c r="C5" s="78">
        <v>2666000</v>
      </c>
      <c r="D5" s="78">
        <v>4009000</v>
      </c>
      <c r="E5" s="78">
        <v>3565000</v>
      </c>
      <c r="F5" s="78">
        <v>3340000</v>
      </c>
      <c r="G5" s="22">
        <f t="shared" si="0"/>
        <v>13580000</v>
      </c>
      <c r="H5" s="22">
        <f t="shared" si="1"/>
        <v>2213451.6651631594</v>
      </c>
      <c r="I5" s="22">
        <f t="shared" si="3"/>
        <v>11366548.334836841</v>
      </c>
    </row>
    <row r="6" spans="1:9" ht="15.75" customHeight="1" x14ac:dyDescent="0.25">
      <c r="A6" s="7">
        <f t="shared" si="2"/>
        <v>2021</v>
      </c>
      <c r="B6" s="77">
        <v>1937294.0964000002</v>
      </c>
      <c r="C6" s="78">
        <v>2753000</v>
      </c>
      <c r="D6" s="78">
        <v>4153000</v>
      </c>
      <c r="E6" s="78">
        <v>3503000</v>
      </c>
      <c r="F6" s="78">
        <v>3374000</v>
      </c>
      <c r="G6" s="22">
        <f t="shared" si="0"/>
        <v>13783000</v>
      </c>
      <c r="H6" s="22">
        <f t="shared" si="1"/>
        <v>2257934.3170231963</v>
      </c>
      <c r="I6" s="22">
        <f t="shared" si="3"/>
        <v>11525065.682976805</v>
      </c>
    </row>
    <row r="7" spans="1:9" ht="15.75" customHeight="1" x14ac:dyDescent="0.25">
      <c r="A7" s="7">
        <f t="shared" si="2"/>
        <v>2022</v>
      </c>
      <c r="B7" s="77">
        <v>1975434.1768000002</v>
      </c>
      <c r="C7" s="78">
        <v>2841000</v>
      </c>
      <c r="D7" s="78">
        <v>4303000</v>
      </c>
      <c r="E7" s="78">
        <v>3421000</v>
      </c>
      <c r="F7" s="78">
        <v>3405000</v>
      </c>
      <c r="G7" s="22">
        <f t="shared" si="0"/>
        <v>13970000</v>
      </c>
      <c r="H7" s="22">
        <f t="shared" si="1"/>
        <v>2302386.93603918</v>
      </c>
      <c r="I7" s="22">
        <f t="shared" si="3"/>
        <v>11667613.06396082</v>
      </c>
    </row>
    <row r="8" spans="1:9" ht="15.75" customHeight="1" x14ac:dyDescent="0.25">
      <c r="A8" s="7">
        <f t="shared" si="2"/>
        <v>2023</v>
      </c>
      <c r="B8" s="77">
        <v>2013460.8948000004</v>
      </c>
      <c r="C8" s="78">
        <v>2929000</v>
      </c>
      <c r="D8" s="78">
        <v>4459000</v>
      </c>
      <c r="E8" s="78">
        <v>3320000</v>
      </c>
      <c r="F8" s="78">
        <v>3434000</v>
      </c>
      <c r="G8" s="22">
        <f t="shared" si="0"/>
        <v>14142000</v>
      </c>
      <c r="H8" s="22">
        <f t="shared" si="1"/>
        <v>2346707.4301218893</v>
      </c>
      <c r="I8" s="22">
        <f t="shared" si="3"/>
        <v>11795292.569878111</v>
      </c>
    </row>
    <row r="9" spans="1:9" ht="15.75" customHeight="1" x14ac:dyDescent="0.25">
      <c r="A9" s="7">
        <f t="shared" si="2"/>
        <v>2024</v>
      </c>
      <c r="B9" s="77">
        <v>2051365.2912000006</v>
      </c>
      <c r="C9" s="78">
        <v>3017000</v>
      </c>
      <c r="D9" s="78">
        <v>4621000</v>
      </c>
      <c r="E9" s="78">
        <v>3203000</v>
      </c>
      <c r="F9" s="78">
        <v>3461000</v>
      </c>
      <c r="G9" s="22">
        <f t="shared" si="0"/>
        <v>14302000</v>
      </c>
      <c r="H9" s="22">
        <f t="shared" si="1"/>
        <v>2390885.357240261</v>
      </c>
      <c r="I9" s="22">
        <f t="shared" si="3"/>
        <v>11911114.642759738</v>
      </c>
    </row>
    <row r="10" spans="1:9" ht="15.75" customHeight="1" x14ac:dyDescent="0.25">
      <c r="A10" s="7">
        <f t="shared" si="2"/>
        <v>2025</v>
      </c>
      <c r="B10" s="77">
        <v>2089098.6249999998</v>
      </c>
      <c r="C10" s="78">
        <v>3106000</v>
      </c>
      <c r="D10" s="78">
        <v>4786000</v>
      </c>
      <c r="E10" s="78">
        <v>3074000</v>
      </c>
      <c r="F10" s="78">
        <v>3487000</v>
      </c>
      <c r="G10" s="22">
        <f t="shared" si="0"/>
        <v>14453000</v>
      </c>
      <c r="H10" s="22">
        <f t="shared" si="1"/>
        <v>2434863.9093047269</v>
      </c>
      <c r="I10" s="22">
        <f t="shared" si="3"/>
        <v>12018136.090695273</v>
      </c>
    </row>
    <row r="11" spans="1:9" ht="15.75" customHeight="1" x14ac:dyDescent="0.25">
      <c r="A11" s="7">
        <f t="shared" si="2"/>
        <v>2026</v>
      </c>
      <c r="B11" s="77">
        <v>2126339.6639999999</v>
      </c>
      <c r="C11" s="78">
        <v>3192000</v>
      </c>
      <c r="D11" s="78">
        <v>4953000</v>
      </c>
      <c r="E11" s="78">
        <v>2932000</v>
      </c>
      <c r="F11" s="78">
        <v>3508000</v>
      </c>
      <c r="G11" s="22">
        <f t="shared" si="0"/>
        <v>14585000</v>
      </c>
      <c r="H11" s="22">
        <f t="shared" si="1"/>
        <v>2478268.6871936163</v>
      </c>
      <c r="I11" s="22">
        <f t="shared" si="3"/>
        <v>12106731.312806383</v>
      </c>
    </row>
    <row r="12" spans="1:9" ht="15.75" customHeight="1" x14ac:dyDescent="0.25">
      <c r="A12" s="7">
        <f t="shared" si="2"/>
        <v>2027</v>
      </c>
      <c r="B12" s="77">
        <v>2163295.6559999995</v>
      </c>
      <c r="C12" s="78">
        <v>3279000</v>
      </c>
      <c r="D12" s="78">
        <v>5123000</v>
      </c>
      <c r="E12" s="78">
        <v>2781000</v>
      </c>
      <c r="F12" s="78">
        <v>3526000</v>
      </c>
      <c r="G12" s="22">
        <f t="shared" si="0"/>
        <v>14709000</v>
      </c>
      <c r="H12" s="22">
        <f t="shared" si="1"/>
        <v>2521341.2401485322</v>
      </c>
      <c r="I12" s="22">
        <f t="shared" si="3"/>
        <v>12187658.759851467</v>
      </c>
    </row>
    <row r="13" spans="1:9" ht="15.75" customHeight="1" x14ac:dyDescent="0.25">
      <c r="A13" s="7">
        <f t="shared" si="2"/>
        <v>2028</v>
      </c>
      <c r="B13" s="77">
        <v>2199844.3199999994</v>
      </c>
      <c r="C13" s="78">
        <v>3367000</v>
      </c>
      <c r="D13" s="78">
        <v>5298000</v>
      </c>
      <c r="E13" s="78">
        <v>2625000</v>
      </c>
      <c r="F13" s="78">
        <v>3534000</v>
      </c>
      <c r="G13" s="22">
        <f t="shared" si="0"/>
        <v>14824000</v>
      </c>
      <c r="H13" s="22">
        <f t="shared" si="1"/>
        <v>2563939.0485248142</v>
      </c>
      <c r="I13" s="22">
        <f t="shared" si="3"/>
        <v>12260060.951475186</v>
      </c>
    </row>
    <row r="14" spans="1:9" ht="15.75" customHeight="1" x14ac:dyDescent="0.25">
      <c r="A14" s="7">
        <f t="shared" si="2"/>
        <v>2029</v>
      </c>
      <c r="B14" s="77">
        <v>2235939.2249999996</v>
      </c>
      <c r="C14" s="78">
        <v>3457000</v>
      </c>
      <c r="D14" s="78">
        <v>5475000</v>
      </c>
      <c r="E14" s="78">
        <v>2477000</v>
      </c>
      <c r="F14" s="78">
        <v>3525000</v>
      </c>
      <c r="G14" s="22">
        <f t="shared" si="0"/>
        <v>14934000</v>
      </c>
      <c r="H14" s="22">
        <f t="shared" si="1"/>
        <v>2606007.9965594159</v>
      </c>
      <c r="I14" s="22">
        <f t="shared" si="3"/>
        <v>12327992.003440585</v>
      </c>
    </row>
    <row r="15" spans="1:9" ht="15.75" customHeight="1" x14ac:dyDescent="0.25">
      <c r="A15" s="7">
        <f t="shared" si="2"/>
        <v>2030</v>
      </c>
      <c r="B15" s="77">
        <v>2271498.36</v>
      </c>
      <c r="C15" s="78">
        <v>3549000</v>
      </c>
      <c r="D15" s="78">
        <v>5653000</v>
      </c>
      <c r="E15" s="78">
        <v>2345000</v>
      </c>
      <c r="F15" s="78">
        <v>3491000</v>
      </c>
      <c r="G15" s="22">
        <f t="shared" si="0"/>
        <v>15038000</v>
      </c>
      <c r="H15" s="22">
        <f t="shared" si="1"/>
        <v>2647452.4996678298</v>
      </c>
      <c r="I15" s="22">
        <f t="shared" si="3"/>
        <v>12390547.500332169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128.20602475075583</v>
      </c>
      <c r="I17" s="22">
        <f t="shared" si="4"/>
        <v>-128.20602475075583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4.3786709000000007E-2</v>
      </c>
    </row>
    <row r="4" spans="1:8" ht="15.75" customHeight="1" x14ac:dyDescent="0.25">
      <c r="B4" s="24" t="s">
        <v>7</v>
      </c>
      <c r="C4" s="79">
        <v>0.18270938102595083</v>
      </c>
    </row>
    <row r="5" spans="1:8" ht="15.75" customHeight="1" x14ac:dyDescent="0.25">
      <c r="B5" s="24" t="s">
        <v>8</v>
      </c>
      <c r="C5" s="79">
        <v>6.0475686187860568E-2</v>
      </c>
    </row>
    <row r="6" spans="1:8" ht="15.75" customHeight="1" x14ac:dyDescent="0.25">
      <c r="B6" s="24" t="s">
        <v>10</v>
      </c>
      <c r="C6" s="79">
        <v>0.13852788178166736</v>
      </c>
    </row>
    <row r="7" spans="1:8" ht="15.75" customHeight="1" x14ac:dyDescent="0.25">
      <c r="B7" s="24" t="s">
        <v>13</v>
      </c>
      <c r="C7" s="79">
        <v>0.11932947673152822</v>
      </c>
    </row>
    <row r="8" spans="1:8" ht="15.75" customHeight="1" x14ac:dyDescent="0.25">
      <c r="B8" s="24" t="s">
        <v>14</v>
      </c>
      <c r="C8" s="79">
        <v>1.3440432993119714E-2</v>
      </c>
    </row>
    <row r="9" spans="1:8" ht="15.75" customHeight="1" x14ac:dyDescent="0.25">
      <c r="B9" s="24" t="s">
        <v>27</v>
      </c>
      <c r="C9" s="79">
        <v>9.2415067424804875E-2</v>
      </c>
    </row>
    <row r="10" spans="1:8" ht="15.75" customHeight="1" x14ac:dyDescent="0.25">
      <c r="B10" s="24" t="s">
        <v>15</v>
      </c>
      <c r="C10" s="79">
        <v>0.34931536485506842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9.6793987508594997E-2</v>
      </c>
      <c r="D14" s="79">
        <v>9.6793987508594997E-2</v>
      </c>
      <c r="E14" s="79">
        <v>8.5712086866165299E-2</v>
      </c>
      <c r="F14" s="79">
        <v>8.5712086866165299E-2</v>
      </c>
    </row>
    <row r="15" spans="1:8" ht="15.75" customHeight="1" x14ac:dyDescent="0.25">
      <c r="B15" s="24" t="s">
        <v>16</v>
      </c>
      <c r="C15" s="79">
        <v>0.12599629565131801</v>
      </c>
      <c r="D15" s="79">
        <v>0.12599629565131801</v>
      </c>
      <c r="E15" s="79">
        <v>8.5150243497287795E-2</v>
      </c>
      <c r="F15" s="79">
        <v>8.5150243497287795E-2</v>
      </c>
    </row>
    <row r="16" spans="1:8" ht="15.75" customHeight="1" x14ac:dyDescent="0.25">
      <c r="B16" s="24" t="s">
        <v>17</v>
      </c>
      <c r="C16" s="79">
        <v>5.3711502089456298E-2</v>
      </c>
      <c r="D16" s="79">
        <v>5.3711502089456298E-2</v>
      </c>
      <c r="E16" s="79">
        <v>5.5062491452445197E-2</v>
      </c>
      <c r="F16" s="79">
        <v>5.5062491452445197E-2</v>
      </c>
    </row>
    <row r="17" spans="1:8" ht="15.75" customHeight="1" x14ac:dyDescent="0.25">
      <c r="B17" s="24" t="s">
        <v>18</v>
      </c>
      <c r="C17" s="79">
        <v>1.2755023662881998E-2</v>
      </c>
      <c r="D17" s="79">
        <v>1.2755023662881998E-2</v>
      </c>
      <c r="E17" s="79">
        <v>3.6407738408761797E-2</v>
      </c>
      <c r="F17" s="79">
        <v>3.6407738408761797E-2</v>
      </c>
    </row>
    <row r="18" spans="1:8" ht="15.75" customHeight="1" x14ac:dyDescent="0.25">
      <c r="B18" s="24" t="s">
        <v>19</v>
      </c>
      <c r="C18" s="79">
        <v>0.22160400992455501</v>
      </c>
      <c r="D18" s="79">
        <v>0.22160400992455501</v>
      </c>
      <c r="E18" s="79">
        <v>0.301283323482266</v>
      </c>
      <c r="F18" s="79">
        <v>0.301283323482266</v>
      </c>
    </row>
    <row r="19" spans="1:8" ht="15.75" customHeight="1" x14ac:dyDescent="0.25">
      <c r="B19" s="24" t="s">
        <v>20</v>
      </c>
      <c r="C19" s="79">
        <v>3.2682683981590903E-2</v>
      </c>
      <c r="D19" s="79">
        <v>3.2682683981590903E-2</v>
      </c>
      <c r="E19" s="79">
        <v>3.9136294957397101E-2</v>
      </c>
      <c r="F19" s="79">
        <v>3.9136294957397101E-2</v>
      </c>
    </row>
    <row r="20" spans="1:8" ht="15.75" customHeight="1" x14ac:dyDescent="0.25">
      <c r="B20" s="24" t="s">
        <v>21</v>
      </c>
      <c r="C20" s="79">
        <v>9.9547777039089097E-2</v>
      </c>
      <c r="D20" s="79">
        <v>9.9547777039089097E-2</v>
      </c>
      <c r="E20" s="79">
        <v>4.5829207014767198E-2</v>
      </c>
      <c r="F20" s="79">
        <v>4.5829207014767198E-2</v>
      </c>
    </row>
    <row r="21" spans="1:8" ht="15.75" customHeight="1" x14ac:dyDescent="0.25">
      <c r="B21" s="24" t="s">
        <v>22</v>
      </c>
      <c r="C21" s="79">
        <v>2.4456956297457901E-2</v>
      </c>
      <c r="D21" s="79">
        <v>2.4456956297457901E-2</v>
      </c>
      <c r="E21" s="79">
        <v>6.9698265046368099E-2</v>
      </c>
      <c r="F21" s="79">
        <v>6.9698265046368099E-2</v>
      </c>
    </row>
    <row r="22" spans="1:8" ht="15.75" customHeight="1" x14ac:dyDescent="0.25">
      <c r="B22" s="24" t="s">
        <v>23</v>
      </c>
      <c r="C22" s="79">
        <v>0.3324517638450557</v>
      </c>
      <c r="D22" s="79">
        <v>0.3324517638450557</v>
      </c>
      <c r="E22" s="79">
        <v>0.28172034927454148</v>
      </c>
      <c r="F22" s="79">
        <v>0.28172034927454148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8.4700000000000011E-2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0.14949999999999999</v>
      </c>
    </row>
    <row r="29" spans="1:8" ht="15.75" customHeight="1" x14ac:dyDescent="0.25">
      <c r="B29" s="24" t="s">
        <v>41</v>
      </c>
      <c r="C29" s="79">
        <v>0.16159999999999999</v>
      </c>
    </row>
    <row r="30" spans="1:8" ht="15.75" customHeight="1" x14ac:dyDescent="0.25">
      <c r="B30" s="24" t="s">
        <v>42</v>
      </c>
      <c r="C30" s="79">
        <v>0.10050000000000001</v>
      </c>
    </row>
    <row r="31" spans="1:8" ht="15.75" customHeight="1" x14ac:dyDescent="0.25">
      <c r="B31" s="24" t="s">
        <v>43</v>
      </c>
      <c r="C31" s="79">
        <v>0.105</v>
      </c>
    </row>
    <row r="32" spans="1:8" ht="15.75" customHeight="1" x14ac:dyDescent="0.25">
      <c r="B32" s="24" t="s">
        <v>44</v>
      </c>
      <c r="C32" s="79">
        <v>1.7899999999999999E-2</v>
      </c>
    </row>
    <row r="33" spans="2:3" ht="15.75" customHeight="1" x14ac:dyDescent="0.25">
      <c r="B33" s="24" t="s">
        <v>45</v>
      </c>
      <c r="C33" s="79">
        <v>8.1300000000000011E-2</v>
      </c>
    </row>
    <row r="34" spans="2:3" ht="15.75" customHeight="1" x14ac:dyDescent="0.25">
      <c r="B34" s="24" t="s">
        <v>46</v>
      </c>
      <c r="C34" s="79">
        <v>0.29109999999776481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0.71618456971478284</v>
      </c>
      <c r="D2" s="80">
        <v>0.71618456971478284</v>
      </c>
      <c r="E2" s="80">
        <v>0.60752136307633953</v>
      </c>
      <c r="F2" s="80">
        <v>0.33883245909172161</v>
      </c>
      <c r="G2" s="80">
        <v>0.34843403447361926</v>
      </c>
    </row>
    <row r="3" spans="1:15" ht="15.75" customHeight="1" x14ac:dyDescent="0.25">
      <c r="A3" s="5"/>
      <c r="B3" s="11" t="s">
        <v>118</v>
      </c>
      <c r="C3" s="80">
        <v>0.16496386156351736</v>
      </c>
      <c r="D3" s="80">
        <v>0.16496386156351736</v>
      </c>
      <c r="E3" s="80">
        <v>0.22930953410234384</v>
      </c>
      <c r="F3" s="80">
        <v>0.30008035966480912</v>
      </c>
      <c r="G3" s="80">
        <v>0.2889679592567882</v>
      </c>
    </row>
    <row r="4" spans="1:15" ht="15.75" customHeight="1" x14ac:dyDescent="0.25">
      <c r="A4" s="5"/>
      <c r="B4" s="11" t="s">
        <v>116</v>
      </c>
      <c r="C4" s="81">
        <v>6.6476301149425293E-2</v>
      </c>
      <c r="D4" s="81">
        <v>6.6476301149425293E-2</v>
      </c>
      <c r="E4" s="81">
        <v>0.10928301022291886</v>
      </c>
      <c r="F4" s="81">
        <v>0.25986190449320795</v>
      </c>
      <c r="G4" s="81">
        <v>0.25986190449320795</v>
      </c>
    </row>
    <row r="5" spans="1:15" ht="15.75" customHeight="1" x14ac:dyDescent="0.25">
      <c r="A5" s="5"/>
      <c r="B5" s="11" t="s">
        <v>119</v>
      </c>
      <c r="C5" s="81">
        <v>5.2375267572274474E-2</v>
      </c>
      <c r="D5" s="81">
        <v>5.2375267572274474E-2</v>
      </c>
      <c r="E5" s="81">
        <v>5.3886092598397772E-2</v>
      </c>
      <c r="F5" s="81">
        <v>0.10122527675026124</v>
      </c>
      <c r="G5" s="81">
        <v>0.10273610177638454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0.76773473344782606</v>
      </c>
      <c r="D8" s="80">
        <v>0.76773473344782606</v>
      </c>
      <c r="E8" s="80">
        <v>0.75012885292467246</v>
      </c>
      <c r="F8" s="80">
        <v>0.83567399180041801</v>
      </c>
      <c r="G8" s="80">
        <v>0.89587964746734694</v>
      </c>
    </row>
    <row r="9" spans="1:15" ht="15.75" customHeight="1" x14ac:dyDescent="0.25">
      <c r="B9" s="7" t="s">
        <v>121</v>
      </c>
      <c r="C9" s="80">
        <v>0.15676258955217393</v>
      </c>
      <c r="D9" s="80">
        <v>0.15676258955217393</v>
      </c>
      <c r="E9" s="80">
        <v>0.16237849007532754</v>
      </c>
      <c r="F9" s="80">
        <v>0.12439804919958203</v>
      </c>
      <c r="G9" s="80">
        <v>8.6180816199319721E-2</v>
      </c>
    </row>
    <row r="10" spans="1:15" ht="15.75" customHeight="1" x14ac:dyDescent="0.25">
      <c r="B10" s="7" t="s">
        <v>122</v>
      </c>
      <c r="C10" s="81">
        <v>2.9802413000000003E-2</v>
      </c>
      <c r="D10" s="81">
        <v>2.9802413000000003E-2</v>
      </c>
      <c r="E10" s="81">
        <v>5.5486617000000002E-2</v>
      </c>
      <c r="F10" s="81">
        <v>2.6826545E-2</v>
      </c>
      <c r="G10" s="81">
        <v>1.3114084166666668E-2</v>
      </c>
    </row>
    <row r="11" spans="1:15" ht="15.75" customHeight="1" x14ac:dyDescent="0.25">
      <c r="B11" s="7" t="s">
        <v>123</v>
      </c>
      <c r="C11" s="81">
        <v>4.5700263999999997E-2</v>
      </c>
      <c r="D11" s="81">
        <v>4.5700263999999997E-2</v>
      </c>
      <c r="E11" s="81">
        <v>3.2006039999999999E-2</v>
      </c>
      <c r="F11" s="81">
        <v>1.3101414E-2</v>
      </c>
      <c r="G11" s="81">
        <v>4.8254521666666666E-3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0.61790281525000001</v>
      </c>
      <c r="D14" s="82">
        <v>0.60589571573699996</v>
      </c>
      <c r="E14" s="82">
        <v>0.60589571573699996</v>
      </c>
      <c r="F14" s="82">
        <v>0.48655756599299999</v>
      </c>
      <c r="G14" s="82">
        <v>0.48655756599299999</v>
      </c>
      <c r="H14" s="83">
        <v>0.61599999999999999</v>
      </c>
      <c r="I14" s="83">
        <v>0.39646056782334382</v>
      </c>
      <c r="J14" s="83">
        <v>0.37235962145110413</v>
      </c>
      <c r="K14" s="83">
        <v>0.37356466876971611</v>
      </c>
      <c r="L14" s="83">
        <v>0.406072512128</v>
      </c>
      <c r="M14" s="83">
        <v>0.30008269879900001</v>
      </c>
      <c r="N14" s="83">
        <v>0.34683598328900006</v>
      </c>
      <c r="O14" s="83">
        <v>0.31798663278700001</v>
      </c>
    </row>
    <row r="15" spans="1:15" ht="15.75" customHeight="1" x14ac:dyDescent="0.25">
      <c r="B15" s="16" t="s">
        <v>68</v>
      </c>
      <c r="C15" s="80">
        <f>iron_deficiency_anaemia*C14</f>
        <v>0.30173838903972472</v>
      </c>
      <c r="D15" s="80">
        <f t="shared" ref="D15:O15" si="0">iron_deficiency_anaemia*D14</f>
        <v>0.29587500280053686</v>
      </c>
      <c r="E15" s="80">
        <f t="shared" si="0"/>
        <v>0.29587500280053686</v>
      </c>
      <c r="F15" s="80">
        <f t="shared" si="0"/>
        <v>0.23759900831398156</v>
      </c>
      <c r="G15" s="80">
        <f t="shared" si="0"/>
        <v>0.23759900831398156</v>
      </c>
      <c r="H15" s="80">
        <f t="shared" si="0"/>
        <v>0.30080919371320253</v>
      </c>
      <c r="I15" s="80">
        <f t="shared" si="0"/>
        <v>0.19360224634093912</v>
      </c>
      <c r="J15" s="80">
        <f t="shared" si="0"/>
        <v>0.18183311282477263</v>
      </c>
      <c r="K15" s="80">
        <f t="shared" si="0"/>
        <v>0.18242156950058094</v>
      </c>
      <c r="L15" s="80">
        <f t="shared" si="0"/>
        <v>0.19829601454921805</v>
      </c>
      <c r="M15" s="80">
        <f t="shared" si="0"/>
        <v>0.14653836797566397</v>
      </c>
      <c r="N15" s="80">
        <f t="shared" si="0"/>
        <v>0.16936924104527579</v>
      </c>
      <c r="O15" s="80">
        <f t="shared" si="0"/>
        <v>0.15528133542245728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0.65500000000000003</v>
      </c>
      <c r="D2" s="81">
        <v>0.65500000000000003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0.10800000000000001</v>
      </c>
      <c r="D3" s="81">
        <v>0.14199999999999999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0.11199999999999999</v>
      </c>
      <c r="D4" s="81">
        <v>0.11199999999999999</v>
      </c>
      <c r="E4" s="81">
        <v>0.76700000000000002</v>
      </c>
      <c r="F4" s="81">
        <v>0.88300000000000001</v>
      </c>
      <c r="G4" s="81">
        <v>0</v>
      </c>
    </row>
    <row r="5" spans="1:7" x14ac:dyDescent="0.25">
      <c r="B5" s="43" t="s">
        <v>169</v>
      </c>
      <c r="C5" s="80">
        <f>1-SUM(C2:C4)</f>
        <v>0.125</v>
      </c>
      <c r="D5" s="80">
        <f>1-SUM(D2:D4)</f>
        <v>9.099999999999997E-2</v>
      </c>
      <c r="E5" s="80">
        <f>1-SUM(E2:E4)</f>
        <v>0.23299999999999998</v>
      </c>
      <c r="F5" s="80">
        <f>1-SUM(F2:F4)</f>
        <v>0.11699999999999999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0.3448</v>
      </c>
      <c r="D2" s="144">
        <v>0.33880000000000005</v>
      </c>
      <c r="E2" s="144">
        <v>0.33285999999999999</v>
      </c>
      <c r="F2" s="144">
        <v>0.32695999999999997</v>
      </c>
      <c r="G2" s="144">
        <v>0.32091999999999998</v>
      </c>
      <c r="H2" s="144">
        <v>0.31522</v>
      </c>
      <c r="I2" s="144">
        <v>0.30959999999999999</v>
      </c>
      <c r="J2" s="144">
        <v>0.30408000000000002</v>
      </c>
      <c r="K2" s="144">
        <v>0.29864999999999997</v>
      </c>
      <c r="L2" s="144">
        <v>0.29332999999999998</v>
      </c>
      <c r="M2" s="144">
        <v>0.28811999999999999</v>
      </c>
      <c r="N2" s="144">
        <v>0.28300000000000003</v>
      </c>
      <c r="O2" s="144">
        <v>0.27799000000000001</v>
      </c>
      <c r="P2" s="144">
        <v>0.27309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3.5450000000000002E-2</v>
      </c>
      <c r="D4" s="144">
        <v>3.483E-2</v>
      </c>
      <c r="E4" s="144">
        <v>3.424E-2</v>
      </c>
      <c r="F4" s="144">
        <v>3.3660000000000002E-2</v>
      </c>
      <c r="G4" s="144">
        <v>3.3119999999999997E-2</v>
      </c>
      <c r="H4" s="144">
        <v>3.2570000000000002E-2</v>
      </c>
      <c r="I4" s="144">
        <v>3.2050000000000002E-2</v>
      </c>
      <c r="J4" s="144">
        <v>3.1539999999999999E-2</v>
      </c>
      <c r="K4" s="144">
        <v>3.1050000000000001E-2</v>
      </c>
      <c r="L4" s="144">
        <v>3.058E-2</v>
      </c>
      <c r="M4" s="144">
        <v>3.0120000000000001E-2</v>
      </c>
      <c r="N4" s="144">
        <v>2.9670000000000002E-2</v>
      </c>
      <c r="O4" s="144">
        <v>2.9239999999999999E-2</v>
      </c>
      <c r="P4" s="144">
        <v>2.8830000000000001E-2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0.24935193031527908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0.20236043586368399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0.16295341477657316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0.65500000000000014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0.84433333333333327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60.039000000000001</v>
      </c>
      <c r="D13" s="143">
        <v>57.561999999999998</v>
      </c>
      <c r="E13" s="143">
        <v>55.155000000000001</v>
      </c>
      <c r="F13" s="143">
        <v>52.889000000000003</v>
      </c>
      <c r="G13" s="143">
        <v>50.73</v>
      </c>
      <c r="H13" s="143">
        <v>48.674999999999997</v>
      </c>
      <c r="I13" s="143">
        <v>46.726999999999997</v>
      </c>
      <c r="J13" s="143">
        <v>44.869</v>
      </c>
      <c r="K13" s="143">
        <v>43.103000000000002</v>
      </c>
      <c r="L13" s="143">
        <v>41.418999999999997</v>
      </c>
      <c r="M13" s="143">
        <v>40.003999999999998</v>
      </c>
      <c r="N13" s="143">
        <v>38.271999999999998</v>
      </c>
      <c r="O13" s="143">
        <v>36.878</v>
      </c>
      <c r="P13" s="143">
        <v>35.517000000000003</v>
      </c>
    </row>
    <row r="14" spans="1:16" x14ac:dyDescent="0.25">
      <c r="B14" s="16" t="s">
        <v>170</v>
      </c>
      <c r="C14" s="143">
        <f>maternal_mortality</f>
        <v>0.24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0.214</v>
      </c>
      <c r="E2" s="92">
        <f>food_insecure</f>
        <v>0.214</v>
      </c>
      <c r="F2" s="92">
        <f>food_insecure</f>
        <v>0.214</v>
      </c>
      <c r="G2" s="92">
        <f>food_insecure</f>
        <v>0.214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0.214</v>
      </c>
      <c r="F5" s="92">
        <f>food_insecure</f>
        <v>0.214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0.12340958649807693</v>
      </c>
      <c r="D7" s="92">
        <f>diarrhoea_1_5mo/26</f>
        <v>0.11563051184461498</v>
      </c>
      <c r="E7" s="92">
        <f>diarrhoea_6_11mo/26</f>
        <v>0.11563051184461498</v>
      </c>
      <c r="F7" s="92">
        <f>diarrhoea_12_23mo/26</f>
        <v>7.5310051666538466E-2</v>
      </c>
      <c r="G7" s="92">
        <f>diarrhoea_24_59mo/26</f>
        <v>7.5310051666538466E-2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0.214</v>
      </c>
      <c r="F8" s="92">
        <f>food_insecure</f>
        <v>0.214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</v>
      </c>
      <c r="E9" s="92">
        <f>IF(ISBLANK(comm_deliv), frac_children_health_facility,1)</f>
        <v>0.8</v>
      </c>
      <c r="F9" s="92">
        <f>IF(ISBLANK(comm_deliv), frac_children_health_facility,1)</f>
        <v>0.8</v>
      </c>
      <c r="G9" s="92">
        <f>IF(ISBLANK(comm_deliv), frac_children_health_facility,1)</f>
        <v>0.8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0.12340958649807693</v>
      </c>
      <c r="D11" s="92">
        <f>diarrhoea_1_5mo/26</f>
        <v>0.11563051184461498</v>
      </c>
      <c r="E11" s="92">
        <f>diarrhoea_6_11mo/26</f>
        <v>0.11563051184461498</v>
      </c>
      <c r="F11" s="92">
        <f>diarrhoea_12_23mo/26</f>
        <v>7.5310051666538466E-2</v>
      </c>
      <c r="G11" s="92">
        <f>diarrhoea_24_59mo/26</f>
        <v>7.5310051666538466E-2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0.214</v>
      </c>
      <c r="I14" s="92">
        <f>food_insecure</f>
        <v>0.214</v>
      </c>
      <c r="J14" s="92">
        <f>food_insecure</f>
        <v>0.214</v>
      </c>
      <c r="K14" s="92">
        <f>food_insecure</f>
        <v>0.214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0.59899999999999998</v>
      </c>
      <c r="I17" s="92">
        <f>frac_PW_health_facility</f>
        <v>0.59899999999999998</v>
      </c>
      <c r="J17" s="92">
        <f>frac_PW_health_facility</f>
        <v>0.59899999999999998</v>
      </c>
      <c r="K17" s="92">
        <f>frac_PW_health_facility</f>
        <v>0.59899999999999998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0.73</v>
      </c>
      <c r="I18" s="92">
        <f>frac_malaria_risk</f>
        <v>0.73</v>
      </c>
      <c r="J18" s="92">
        <f>frac_malaria_risk</f>
        <v>0.73</v>
      </c>
      <c r="K18" s="92">
        <f>frac_malaria_risk</f>
        <v>0.73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0.501</v>
      </c>
      <c r="M23" s="92">
        <f>famplan_unmet_need</f>
        <v>0.501</v>
      </c>
      <c r="N23" s="92">
        <f>famplan_unmet_need</f>
        <v>0.501</v>
      </c>
      <c r="O23" s="92">
        <f>famplan_unmet_need</f>
        <v>0.501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0.36053179421464798</v>
      </c>
      <c r="M24" s="92">
        <f>(1-food_insecure)*(0.49)+food_insecure*(0.7)</f>
        <v>0.53493999999999997</v>
      </c>
      <c r="N24" s="92">
        <f>(1-food_insecure)*(0.49)+food_insecure*(0.7)</f>
        <v>0.53493999999999997</v>
      </c>
      <c r="O24" s="92">
        <f>(1-food_insecure)*(0.49)+food_insecure*(0.7)</f>
        <v>0.53493999999999997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0.15451362609199198</v>
      </c>
      <c r="M25" s="92">
        <f>(1-food_insecure)*(0.21)+food_insecure*(0.3)</f>
        <v>0.22926000000000002</v>
      </c>
      <c r="N25" s="92">
        <f>(1-food_insecure)*(0.21)+food_insecure*(0.3)</f>
        <v>0.22926000000000002</v>
      </c>
      <c r="O25" s="92">
        <f>(1-food_insecure)*(0.21)+food_insecure*(0.3)</f>
        <v>0.22926000000000002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0.15892136889336</v>
      </c>
      <c r="M26" s="92">
        <f>(1-food_insecure)*(0.3)</f>
        <v>0.23580000000000001</v>
      </c>
      <c r="N26" s="92">
        <f>(1-food_insecure)*(0.3)</f>
        <v>0.23580000000000001</v>
      </c>
      <c r="O26" s="92">
        <f>(1-food_insecure)*(0.3)</f>
        <v>0.23580000000000001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0.73</v>
      </c>
      <c r="D33" s="92">
        <f t="shared" si="3"/>
        <v>0.73</v>
      </c>
      <c r="E33" s="92">
        <f t="shared" si="3"/>
        <v>0.73</v>
      </c>
      <c r="F33" s="92">
        <f t="shared" si="3"/>
        <v>0.73</v>
      </c>
      <c r="G33" s="92">
        <f t="shared" si="3"/>
        <v>0.73</v>
      </c>
      <c r="H33" s="92">
        <f t="shared" si="3"/>
        <v>0.73</v>
      </c>
      <c r="I33" s="92">
        <f t="shared" si="3"/>
        <v>0.73</v>
      </c>
      <c r="J33" s="92">
        <f t="shared" si="3"/>
        <v>0.73</v>
      </c>
      <c r="K33" s="92">
        <f t="shared" si="3"/>
        <v>0.73</v>
      </c>
      <c r="L33" s="92">
        <f t="shared" si="3"/>
        <v>0.73</v>
      </c>
      <c r="M33" s="92">
        <f t="shared" si="3"/>
        <v>0.73</v>
      </c>
      <c r="N33" s="92">
        <f t="shared" si="3"/>
        <v>0.73</v>
      </c>
      <c r="O33" s="92">
        <f t="shared" si="3"/>
        <v>0.73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2020-03-24T06:50:55Z</dcterms:modified>
</cp:coreProperties>
</file>