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ominic.delport\Documents\Optima Nutrition Work\SDG project data\Modelling\Optima\inputs\"/>
    </mc:Choice>
  </mc:AlternateContent>
  <xr:revisionPtr revIDLastSave="0" documentId="8_{72ED3068-0E2A-4623-8FFB-F589CA545D61}" xr6:coauthVersionLast="45" xr6:coauthVersionMax="45" xr10:uidLastSave="{00000000-0000-0000-0000-000000000000}"/>
  <bookViews>
    <workbookView xWindow="-110" yWindow="-110" windowWidth="19420" windowHeight="10420" tabRatio="894" firstSheet="2" activeTab="1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state="hidden" r:id="rId7"/>
    <sheet name="Treatment of SAM" sheetId="60" state="hidden" r:id="rId8"/>
    <sheet name="Programs target population" sheetId="21" state="hidden" r:id="rId9"/>
    <sheet name="Programs cost and coverage" sheetId="56" r:id="rId10"/>
    <sheet name="IYCF cost" sheetId="57" state="hidden" r:id="rId11"/>
    <sheet name="Program dependencies" sheetId="58" r:id="rId12"/>
    <sheet name="Reference programs" sheetId="59" state="hidden" r:id="rId13"/>
    <sheet name="Incidence of conditions" sheetId="7" state="hidden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state="hidden" r:id="rId26"/>
    <sheet name="Programs for children" sheetId="72" state="hidden" r:id="rId27"/>
    <sheet name="Programs for PW" sheetId="73" state="hidden" r:id="rId28"/>
  </sheet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C11" i="51"/>
  <c r="C10" i="51"/>
  <c r="C14" i="51"/>
  <c r="C15" i="5"/>
  <c r="E31" i="2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/>
  <c r="G16" i="2"/>
  <c r="H16" i="2"/>
  <c r="I16" i="2" s="1"/>
  <c r="G17" i="2"/>
  <c r="H17" i="2"/>
  <c r="G18" i="2"/>
  <c r="H18" i="2"/>
  <c r="G19" i="2"/>
  <c r="H19" i="2"/>
  <c r="I19" i="2" s="1"/>
  <c r="G20" i="2"/>
  <c r="H20" i="2"/>
  <c r="I20" i="2" s="1"/>
  <c r="G21" i="2"/>
  <c r="H21" i="2"/>
  <c r="I21" i="2" s="1"/>
  <c r="G22" i="2"/>
  <c r="H22" i="2"/>
  <c r="I22" i="2" s="1"/>
  <c r="G23" i="2"/>
  <c r="H23" i="2"/>
  <c r="I23" i="2" s="1"/>
  <c r="G24" i="2"/>
  <c r="H24" i="2"/>
  <c r="G25" i="2"/>
  <c r="H25" i="2"/>
  <c r="I25" i="2" s="1"/>
  <c r="G26" i="2"/>
  <c r="H26" i="2"/>
  <c r="I26" i="2" s="1"/>
  <c r="G27" i="2"/>
  <c r="H27" i="2"/>
  <c r="G28" i="2"/>
  <c r="H28" i="2"/>
  <c r="I28" i="2" s="1"/>
  <c r="G29" i="2"/>
  <c r="H29" i="2"/>
  <c r="I29" i="2" s="1"/>
  <c r="G30" i="2"/>
  <c r="H30" i="2"/>
  <c r="I30" i="2" s="1"/>
  <c r="G31" i="2"/>
  <c r="H31" i="2"/>
  <c r="I31" i="2" s="1"/>
  <c r="G32" i="2"/>
  <c r="H32" i="2"/>
  <c r="I32" i="2" s="1"/>
  <c r="G33" i="2"/>
  <c r="H33" i="2"/>
  <c r="I33" i="2" s="1"/>
  <c r="G34" i="2"/>
  <c r="H34" i="2"/>
  <c r="G35" i="2"/>
  <c r="H35" i="2"/>
  <c r="I35" i="2" s="1"/>
  <c r="G36" i="2"/>
  <c r="H36" i="2"/>
  <c r="I36" i="2" s="1"/>
  <c r="G37" i="2"/>
  <c r="H37" i="2"/>
  <c r="I37" i="2" s="1"/>
  <c r="G38" i="2"/>
  <c r="H38" i="2"/>
  <c r="I38" i="2" s="1"/>
  <c r="G39" i="2"/>
  <c r="H39" i="2"/>
  <c r="I39" i="2" s="1"/>
  <c r="G40" i="2"/>
  <c r="H40" i="2"/>
  <c r="I40" i="2" s="1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G5" i="50"/>
  <c r="F5" i="50"/>
  <c r="E5" i="50"/>
  <c r="D5" i="50"/>
  <c r="C5" i="50"/>
  <c r="C48" i="1"/>
  <c r="H3" i="2"/>
  <c r="H4" i="2"/>
  <c r="G4" i="2"/>
  <c r="H5" i="2"/>
  <c r="I5" i="2" s="1"/>
  <c r="H6" i="2"/>
  <c r="I6" i="2" s="1"/>
  <c r="H7" i="2"/>
  <c r="H8" i="2"/>
  <c r="H9" i="2"/>
  <c r="H10" i="2"/>
  <c r="H11" i="2"/>
  <c r="H12" i="2"/>
  <c r="H13" i="2"/>
  <c r="H14" i="2"/>
  <c r="H15" i="2"/>
  <c r="C20" i="1"/>
  <c r="G3" i="2"/>
  <c r="G5" i="2"/>
  <c r="G6" i="2"/>
  <c r="G7" i="2"/>
  <c r="G8" i="2"/>
  <c r="G9" i="2"/>
  <c r="G10" i="2"/>
  <c r="G11" i="2"/>
  <c r="G12" i="2"/>
  <c r="G13" i="2"/>
  <c r="G14" i="2"/>
  <c r="G15" i="2"/>
  <c r="G2" i="2"/>
  <c r="I34" i="2"/>
  <c r="I24" i="2"/>
  <c r="I18" i="2"/>
  <c r="I27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24" i="2"/>
  <c r="A18" i="2"/>
  <c r="A36" i="2"/>
  <c r="A40" i="2"/>
  <c r="A22" i="2"/>
  <c r="A25" i="2"/>
  <c r="A29" i="2"/>
  <c r="A27" i="2"/>
  <c r="A31" i="2"/>
  <c r="A20" i="2"/>
  <c r="A16" i="2"/>
  <c r="I17" i="2"/>
  <c r="A19" i="2"/>
  <c r="A35" i="2"/>
  <c r="A28" i="2"/>
  <c r="A17" i="2"/>
  <c r="A33" i="2"/>
  <c r="A30" i="2"/>
  <c r="A26" i="2"/>
  <c r="A23" i="2"/>
  <c r="A39" i="2"/>
  <c r="A32" i="2"/>
  <c r="A21" i="2"/>
  <c r="A37" i="2"/>
  <c r="A38" i="2"/>
  <c r="C8" i="51" l="1"/>
  <c r="C7" i="51"/>
  <c r="C6" i="51"/>
  <c r="I15" i="2"/>
  <c r="I14" i="2"/>
  <c r="I13" i="2"/>
  <c r="I12" i="2"/>
  <c r="I11" i="2"/>
  <c r="I10" i="2"/>
  <c r="I9" i="2"/>
  <c r="I8" i="2"/>
  <c r="I7" i="2"/>
  <c r="I4" i="2"/>
  <c r="I3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7" authorId="0" shapeId="0" xr:uid="{64567CE1-A529-4CCC-90B8-E852DBE4E1C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8" authorId="0" shapeId="0" xr:uid="{CF3A0EC8-7954-416A-9F9A-9069342B68CD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9" authorId="0" shapeId="0" xr:uid="{4E8DABF8-8C49-4483-A22C-D7D677DF0343}">
      <text>
        <r>
          <rPr>
            <sz val="9"/>
            <color indexed="81"/>
            <rFont val="Tahoma"/>
            <charset val="1"/>
          </rPr>
          <t>Source: LiST [Percentage of women exposed]</t>
        </r>
      </text>
    </comment>
    <comment ref="C10" authorId="0" shapeId="0" xr:uid="{0DD6B658-8D9E-4119-BAE7-6B4718870515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11" authorId="0" shapeId="0" xr:uid="{6ED6C4E7-9A45-4259-8163-CBED6795A9E6}">
      <text>
        <r>
          <rPr>
            <sz val="9"/>
            <color indexed="81"/>
            <rFont val="Tahoma"/>
            <charset val="1"/>
          </rPr>
          <t>Source: WHO Global Health Observatory (Country level)</t>
        </r>
      </text>
    </comment>
    <comment ref="C12" authorId="0" shapeId="0" xr:uid="{B4C77222-F7E0-44A5-B1D1-E0485F1D04B1}">
      <text>
        <r>
          <rPr>
            <sz val="9"/>
            <color indexed="81"/>
            <rFont val="Tahoma"/>
            <charset val="1"/>
          </rPr>
          <t>Source: UNICEF Data (Country level)</t>
        </r>
      </text>
    </comment>
    <comment ref="C13" authorId="0" shapeId="0" xr:uid="{20BD36C6-2DE2-4235-B713-A9E34F47A2E8}">
      <text>
        <r>
          <rPr>
            <sz val="9"/>
            <color indexed="81"/>
            <rFont val="Tahoma"/>
            <charset val="1"/>
          </rPr>
          <t>Source: WHO Global Health Observatory (Country level)</t>
        </r>
      </text>
    </comment>
    <comment ref="C16" authorId="0" shapeId="0" xr:uid="{8605649E-FD31-4181-AE29-05AEC191F25B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7" authorId="0" shapeId="0" xr:uid="{D51B6D3D-AA58-4015-A115-58BA94316BFF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8" authorId="0" shapeId="0" xr:uid="{F89EA4D6-5E2E-425A-86AF-4CCB23BEE4FE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9" authorId="0" shapeId="0" xr:uid="{2106CD1B-E4E4-46AB-9778-3A556C3C27AB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23" authorId="0" shapeId="0" xr:uid="{09B9C0DA-9477-4FBA-AD27-CC25E1E0847C}">
      <text>
        <r>
          <rPr>
            <sz val="9"/>
            <color indexed="81"/>
            <rFont val="Tahoma"/>
            <charset val="1"/>
          </rPr>
          <t>Source: LiST</t>
        </r>
      </text>
    </comment>
    <comment ref="C24" authorId="0" shapeId="0" xr:uid="{1A4A4AD7-E622-487B-AB74-AB1A3C3BD575}">
      <text>
        <r>
          <rPr>
            <sz val="9"/>
            <color indexed="81"/>
            <rFont val="Tahoma"/>
            <charset val="1"/>
          </rPr>
          <t>Source: LiST</t>
        </r>
      </text>
    </comment>
    <comment ref="C25" authorId="0" shapeId="0" xr:uid="{472FBA58-6900-4AAA-A6F9-2E6E6C2FFCE9}">
      <text>
        <r>
          <rPr>
            <sz val="9"/>
            <color indexed="81"/>
            <rFont val="Tahoma"/>
            <charset val="1"/>
          </rPr>
          <t>Source: LiST</t>
        </r>
      </text>
    </comment>
    <comment ref="C26" authorId="0" shapeId="0" xr:uid="{87283656-F295-4123-8B81-05337BB1CAA1}">
      <text>
        <r>
          <rPr>
            <sz val="9"/>
            <color indexed="81"/>
            <rFont val="Tahoma"/>
            <charset val="1"/>
          </rPr>
          <t>Source: LiST</t>
        </r>
      </text>
    </comment>
    <comment ref="C29" authorId="0" shapeId="0" xr:uid="{5AABE040-5B65-451E-A4F2-68F26326B238}">
      <text>
        <r>
          <rPr>
            <sz val="9"/>
            <color indexed="81"/>
            <rFont val="Tahoma"/>
            <charset val="1"/>
          </rPr>
          <t>Source: LiST</t>
        </r>
      </text>
    </comment>
    <comment ref="C30" authorId="0" shapeId="0" xr:uid="{0A746020-9412-4ED5-92F0-4CD65E195D62}">
      <text>
        <r>
          <rPr>
            <sz val="9"/>
            <color indexed="81"/>
            <rFont val="Tahoma"/>
            <charset val="1"/>
          </rPr>
          <t>Source: LiST</t>
        </r>
      </text>
    </comment>
    <comment ref="C31" authorId="0" shapeId="0" xr:uid="{29321F46-F147-4696-8978-0CF860CDE613}">
      <text>
        <r>
          <rPr>
            <sz val="9"/>
            <color indexed="81"/>
            <rFont val="Tahoma"/>
            <charset val="1"/>
          </rPr>
          <t>Source: LiST</t>
        </r>
      </text>
    </comment>
    <comment ref="C32" authorId="0" shapeId="0" xr:uid="{83271108-B22D-4816-ACF1-1A3E5FFB44AE}">
      <text>
        <r>
          <rPr>
            <sz val="9"/>
            <color indexed="81"/>
            <rFont val="Tahoma"/>
            <charset val="1"/>
          </rPr>
          <t>Source: LiST</t>
        </r>
      </text>
    </comment>
    <comment ref="C37" authorId="0" shapeId="0" xr:uid="{50553334-A7E8-4B34-84E7-C425B0E5C91E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38" authorId="0" shapeId="0" xr:uid="{EA564185-6986-442C-B9F7-99C40512C11D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39" authorId="0" shapeId="0" xr:uid="{C542CE04-1F50-411C-9D89-AF1EF76065A9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40" authorId="0" shapeId="0" xr:uid="{68A51CD7-2B29-4E51-B4E7-4682098D69C0}">
      <text>
        <r>
          <rPr>
            <sz val="9"/>
            <color indexed="81"/>
            <rFont val="Tahoma"/>
            <charset val="1"/>
          </rPr>
          <t>Source: UNICEF Data (2015) (Country level)</t>
        </r>
      </text>
    </comment>
    <comment ref="C41" authorId="0" shapeId="0" xr:uid="{A7EDD4EB-5B18-495A-B898-31D678E1DD95}">
      <text>
        <r>
          <rPr>
            <sz val="9"/>
            <color indexed="81"/>
            <rFont val="Tahoma"/>
            <charset val="1"/>
          </rPr>
          <t>Source: LiST</t>
        </r>
      </text>
    </comment>
    <comment ref="C42" authorId="0" shapeId="0" xr:uid="{A8330C1A-EDB4-4DEF-997B-AA2D0B4F71EC}">
      <text>
        <r>
          <rPr>
            <sz val="9"/>
            <color indexed="81"/>
            <rFont val="Tahoma"/>
            <charset val="1"/>
          </rPr>
          <t>Source: WHO Global Health Observatory (2015) (Country level)</t>
        </r>
      </text>
    </comment>
    <comment ref="C45" authorId="0" shapeId="0" xr:uid="{2BFBCD84-6E38-4E18-801C-07292C09FF5F}">
      <text>
        <r>
          <rPr>
            <sz val="9"/>
            <color indexed="81"/>
            <rFont val="Tahoma"/>
            <charset val="1"/>
          </rPr>
          <t>Source: LiST</t>
        </r>
      </text>
    </comment>
    <comment ref="C46" authorId="0" shapeId="0" xr:uid="{E3F06A12-DB6E-423F-A4CD-2CB05EEBA01A}">
      <text>
        <r>
          <rPr>
            <sz val="9"/>
            <color indexed="81"/>
            <rFont val="Tahoma"/>
            <charset val="1"/>
          </rPr>
          <t>Source: LiST</t>
        </r>
      </text>
    </comment>
    <comment ref="C47" authorId="0" shapeId="0" xr:uid="{33C1169B-5239-431B-967F-B4E3914D642B}">
      <text>
        <r>
          <rPr>
            <sz val="9"/>
            <color indexed="81"/>
            <rFont val="Tahoma"/>
            <charset val="1"/>
          </rPr>
          <t>Source: LiST</t>
        </r>
      </text>
    </comment>
    <comment ref="C51" authorId="0" shapeId="0" xr:uid="{7846649F-6BCB-4A0E-8D87-9428CA8E5D6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2" authorId="0" shapeId="0" xr:uid="{752D2223-246A-44C7-BE3A-4AD3FEE5A72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3" authorId="0" shapeId="0" xr:uid="{12303EF9-71C9-44CB-A4EE-5F7B2633D6D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4" authorId="0" shapeId="0" xr:uid="{DCE2C840-033A-45DC-A723-F606B844098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5" authorId="0" shapeId="0" xr:uid="{47E24C40-C0E2-4886-8700-E3E175C890E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8" authorId="0" shapeId="0" xr:uid="{F2E88796-0A65-494B-BD01-0A8FB345B299}">
      <text>
        <r>
          <rPr>
            <sz val="9"/>
            <color indexed="81"/>
            <rFont val="Tahoma"/>
            <charset val="1"/>
          </rPr>
          <t>Source: Global burden of childhood pneumonia and diarrhoea &lt;https://www.sciencedirect.com/science/article/pii/S0140673613602226?via%3Dihub&gt; (Region level)</t>
        </r>
      </text>
    </comment>
    <comment ref="C59" authorId="0" shapeId="0" xr:uid="{6F6F9084-A824-4274-8C25-1F4093BC40FF}">
      <text>
        <r>
          <rPr>
            <sz val="9"/>
            <color indexed="81"/>
            <rFont val="Tahoma"/>
            <charset val="1"/>
          </rPr>
          <t>Source: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B2" authorId="0" shapeId="0" xr:uid="{102457E7-8440-4D12-9973-8989921B930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2" authorId="0" shapeId="0" xr:uid="{A55A5053-D99E-409E-9B19-65CD160D070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2" authorId="0" shapeId="0" xr:uid="{9E47F9DD-DA6C-4D78-B13E-AFF1E12D378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2" authorId="0" shapeId="0" xr:uid="{A73A67DD-24E0-46FC-BEFF-CBF7197A5C5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2" authorId="0" shapeId="0" xr:uid="{27C9FD33-6AD3-4E2F-862E-0E74BEA289A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3" authorId="0" shapeId="0" xr:uid="{3CDC51B1-E733-4994-B3EC-7B25AE2CC78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3" authorId="0" shapeId="0" xr:uid="{AA11572D-55D1-4067-9949-E9999E78F5A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3" authorId="0" shapeId="0" xr:uid="{78048C1D-9685-4707-B2BF-DBA26B15BFA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3" authorId="0" shapeId="0" xr:uid="{7C6E169E-04CA-45C5-9024-9E4251B567A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3" authorId="0" shapeId="0" xr:uid="{F559074E-6EC4-4472-8180-8C358BE9419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4" authorId="0" shapeId="0" xr:uid="{7CA8DFF9-0288-4672-9AAA-A656A2893D6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4" authorId="0" shapeId="0" xr:uid="{858FAC8B-BCDE-4492-92E5-CB5BA664FA8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4" authorId="0" shapeId="0" xr:uid="{63939D3F-6789-4A9E-B860-EBCEC10A07D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4" authorId="0" shapeId="0" xr:uid="{C99D39FD-CA68-46A9-8B91-3992EB5421C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4" authorId="0" shapeId="0" xr:uid="{B4E2D2C1-86BF-4BEA-8E30-07A6EF94881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5" authorId="0" shapeId="0" xr:uid="{B93BAC0B-ABE5-4DBD-AF8A-B9535A879EA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5" authorId="0" shapeId="0" xr:uid="{931E6806-6BEB-49CC-B806-74D908294F3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5" authorId="0" shapeId="0" xr:uid="{D3E8AAA5-0A1E-44B5-8D1A-B59EBC02C76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5" authorId="0" shapeId="0" xr:uid="{9A6C3364-D153-4339-92DA-5B4983693DF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5" authorId="0" shapeId="0" xr:uid="{0C2D15D5-3F60-4AE1-8184-AC64401BFC0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6" authorId="0" shapeId="0" xr:uid="{A8554212-B88A-4B0D-BC1D-AAD579879B4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6" authorId="0" shapeId="0" xr:uid="{65285A21-96C7-4E5C-8ACA-C3B2BEDB95E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6" authorId="0" shapeId="0" xr:uid="{3FB022C9-8A8B-4AF9-BDCB-489AFB69CB3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6" authorId="0" shapeId="0" xr:uid="{282F9F98-140F-44F0-8404-457556356D1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6" authorId="0" shapeId="0" xr:uid="{C4CAB85C-6CCB-4235-BF82-C37F6B34D5B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7" authorId="0" shapeId="0" xr:uid="{B6D83F50-8B32-485B-9BBC-B8110219BEF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7" authorId="0" shapeId="0" xr:uid="{6C8CFF84-AD57-4CBB-9837-AC710689FCD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7" authorId="0" shapeId="0" xr:uid="{48C58BAB-2913-43C7-B86B-EA60EA9A08E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7" authorId="0" shapeId="0" xr:uid="{EB6D73B8-7E3A-4180-9D6D-647039969BE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7" authorId="0" shapeId="0" xr:uid="{C28D151D-E2FF-4539-952A-8130ED32F2F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8" authorId="0" shapeId="0" xr:uid="{34C5F29C-41F3-439F-830E-4B547D97BF4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8" authorId="0" shapeId="0" xr:uid="{B8FB85A8-D04B-427D-B0A3-D898C35B3DC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8" authorId="0" shapeId="0" xr:uid="{EE626F69-9C5D-4C57-ACA3-06C01914AC0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8" authorId="0" shapeId="0" xr:uid="{5ACD8891-EA43-4C13-B085-392EE281F81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8" authorId="0" shapeId="0" xr:uid="{A3C7EFB2-4D3E-4094-AED1-53CB2C51DE4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9" authorId="0" shapeId="0" xr:uid="{14B654A2-D7E8-4001-9931-FEE8E5A8892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9" authorId="0" shapeId="0" xr:uid="{0C530FE7-62B5-443A-8537-936DE1E8B56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9" authorId="0" shapeId="0" xr:uid="{25E7C7E1-4B97-4022-8191-525D01E8282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9" authorId="0" shapeId="0" xr:uid="{368D8883-A4B0-4EA8-9568-6BFC8060B1D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9" authorId="0" shapeId="0" xr:uid="{87ECA933-E3BB-46C7-A219-1F2F9741E2A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0" authorId="0" shapeId="0" xr:uid="{78CBCD24-77C5-4BE7-9697-B650EFE74EF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0" authorId="0" shapeId="0" xr:uid="{AC0CC7F3-EEF6-4D8C-BB95-F6996F583FB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0" authorId="0" shapeId="0" xr:uid="{74A39D96-353D-4B67-AB41-D7E2203B82D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0" authorId="0" shapeId="0" xr:uid="{C5F0E52B-3606-4B74-B094-9265AC7689F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0" authorId="0" shapeId="0" xr:uid="{7CCD1A7B-A3D3-4208-B3FF-4F71A518E49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1" authorId="0" shapeId="0" xr:uid="{CDF3ACF2-A93B-4C0A-B510-FD0638C8CCA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1" authorId="0" shapeId="0" xr:uid="{7B0DD953-D6B7-47E0-9643-6EF370A7E16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1" authorId="0" shapeId="0" xr:uid="{07314D49-F2C6-463C-B6A7-98B29098CAD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1" authorId="0" shapeId="0" xr:uid="{A8BFB2F7-2242-4166-AAD6-94952631431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1" authorId="0" shapeId="0" xr:uid="{FB1F3331-160B-421F-AD1C-649322A7DF0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2" authorId="0" shapeId="0" xr:uid="{C8DE8B2D-B3BD-4C82-80DF-68C7984E3DC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2" authorId="0" shapeId="0" xr:uid="{FD370DBC-8A24-453D-9EFE-31070C7A6D9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2" authorId="0" shapeId="0" xr:uid="{E0DFC285-061D-4D45-ABDA-BEB50757EC9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2" authorId="0" shapeId="0" xr:uid="{136A9487-EB20-4569-A15C-4E430CD318C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2" authorId="0" shapeId="0" xr:uid="{9D0579E7-A9F6-4118-BC56-DCA7A5B8312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3" authorId="0" shapeId="0" xr:uid="{280CCEFB-637F-422F-97EE-5A40175B676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3" authorId="0" shapeId="0" xr:uid="{A4A25B99-9EA7-486D-BD50-7F7E7F6ED6E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3" authorId="0" shapeId="0" xr:uid="{842895B7-0883-461D-BDD7-116B084DAA0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3" authorId="0" shapeId="0" xr:uid="{476DFA24-B6E7-43A9-B3F3-4D943133559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3" authorId="0" shapeId="0" xr:uid="{85032ED5-0E87-4E94-B4BB-36E663DA067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4" authorId="0" shapeId="0" xr:uid="{D399B8B3-CBAF-45D3-B181-65151E4FF96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4" authorId="0" shapeId="0" xr:uid="{4F3C4C57-536B-4440-9C71-3158DA330BA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4" authorId="0" shapeId="0" xr:uid="{D4DB8FC3-E54D-45A5-9972-C21FE982186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4" authorId="0" shapeId="0" xr:uid="{97AB7BBB-C2A4-40A2-AA6B-8FA82D6AE2B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4" authorId="0" shapeId="0" xr:uid="{4A5CAB85-8133-4A01-9F5C-397C1FDD8F3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5" authorId="0" shapeId="0" xr:uid="{AC311CC7-E411-4EFB-8C2D-E6CD353F213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5" authorId="0" shapeId="0" xr:uid="{3564139C-F469-4EF9-9831-204A622BE99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5" authorId="0" shapeId="0" xr:uid="{40F19CD2-2930-4C7F-8C1F-E6DB955E929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5" authorId="0" shapeId="0" xr:uid="{B7DC76B6-79CF-4865-B38D-56333210C30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5" authorId="0" shapeId="0" xr:uid="{6715B78B-1914-4D85-98F7-1113456566F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3" authorId="0" shapeId="0" xr:uid="{1E825D89-A732-4EEF-B5D5-6DDF1206D4C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4" authorId="0" shapeId="0" xr:uid="{335D9D62-67E3-418E-87DF-DFF60DB6F9C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" authorId="0" shapeId="0" xr:uid="{C1EBAFE0-CB13-4033-8085-1253F9D8D8D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6" authorId="0" shapeId="0" xr:uid="{64933E48-AC2A-4A59-9DD4-291589C717D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7" authorId="0" shapeId="0" xr:uid="{19569CB5-68FB-4775-948D-884CAB30C16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8" authorId="0" shapeId="0" xr:uid="{0073A8C4-6BB3-4E33-9726-79A4EDA964F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9" authorId="0" shapeId="0" xr:uid="{285AA036-AD17-4721-9033-2801EF02062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0" authorId="0" shapeId="0" xr:uid="{4BEACD1D-D8BC-402E-99CB-8D0E27A1052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4" authorId="0" shapeId="0" xr:uid="{94723B00-FB4D-4911-A5FB-EBC7C4BBDE5C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4" authorId="0" shapeId="0" xr:uid="{DB0E91F4-7E96-4B90-88BD-6E860B39FC91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4" authorId="0" shapeId="0" xr:uid="{30F80FE1-984B-4A15-B5D2-3BD2B74C3D18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4" authorId="0" shapeId="0" xr:uid="{0ABBDBAE-3760-4299-9769-B9162BFD3EEC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5" authorId="0" shapeId="0" xr:uid="{2E37A671-38EA-40E4-8842-E4D907E8F055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5" authorId="0" shapeId="0" xr:uid="{9162FFDB-2BDF-4CEB-BEA9-A8148AF19A6D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5" authorId="0" shapeId="0" xr:uid="{C6680459-52FD-4FA2-A441-E8ADD7DEE93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5" authorId="0" shapeId="0" xr:uid="{F21B751B-9AA5-42C9-9926-3FB6E81BDCF3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6" authorId="0" shapeId="0" xr:uid="{DC969663-0FD0-40C4-A4D7-8E9942BC8AF6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6" authorId="0" shapeId="0" xr:uid="{F46E29CC-8382-46C6-A1DD-390145112321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6" authorId="0" shapeId="0" xr:uid="{FA90F566-E454-413D-895C-63CE7972A837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6" authorId="0" shapeId="0" xr:uid="{A8CF2503-0325-47EF-BDA9-A918E3AD8169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7" authorId="0" shapeId="0" xr:uid="{CE229715-4ECA-4F1C-A9B0-5593A9324072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7" authorId="0" shapeId="0" xr:uid="{7428BB8B-1787-432D-95B5-EE0D702A9E01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7" authorId="0" shapeId="0" xr:uid="{5235622C-07AF-4677-B93F-F34A087D4F9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7" authorId="0" shapeId="0" xr:uid="{3B0DFB48-D688-49E6-9588-17F10DFA1AEE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8" authorId="0" shapeId="0" xr:uid="{B9D19381-AD74-43BF-9602-2179A3011C50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8" authorId="0" shapeId="0" xr:uid="{BB958A6A-5AB2-4F00-B1C1-8C60AE2D32E7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8" authorId="0" shapeId="0" xr:uid="{4D06F8F7-88A2-4203-B6FC-A94BEBC17F8F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8" authorId="0" shapeId="0" xr:uid="{65E16B5E-D7F9-47CD-B831-BFB690F4C994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9" authorId="0" shapeId="0" xr:uid="{73FAA570-B41C-412C-8B8E-63979B655C9B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9" authorId="0" shapeId="0" xr:uid="{440B6192-3496-4D3A-B1D2-9EF4BF1D30EE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9" authorId="0" shapeId="0" xr:uid="{D24A5277-0B6F-4B3C-8547-36FCBAFA742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9" authorId="0" shapeId="0" xr:uid="{5C717D1F-63C0-4A94-8F7E-5601443A7AE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0" authorId="0" shapeId="0" xr:uid="{67AF91DB-6234-429F-96AA-992C8D9DC32C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0" authorId="0" shapeId="0" xr:uid="{5E53B31C-C45E-4CC5-A05F-199B945695B2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0" authorId="0" shapeId="0" xr:uid="{31B398E1-ECB3-4667-969B-581C08BE8DB4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0" authorId="0" shapeId="0" xr:uid="{0AB91673-1D25-411C-8434-CC92E19379A7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1" authorId="0" shapeId="0" xr:uid="{5324A134-0A11-4BC2-9939-E9779DD3545B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1" authorId="0" shapeId="0" xr:uid="{5AAFE583-317E-4321-912B-FA1F2C2476F4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1" authorId="0" shapeId="0" xr:uid="{4F591F86-F5B1-4318-8704-D75F5AD7ABE4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1" authorId="0" shapeId="0" xr:uid="{85A279D4-B123-491A-AAD0-E3265B836084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2" authorId="0" shapeId="0" xr:uid="{11687EB4-F58E-422B-9F79-52AC5B64E407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2" authorId="0" shapeId="0" xr:uid="{83842995-2E52-4BEF-B514-4201BC57458D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2" authorId="0" shapeId="0" xr:uid="{C36A8D5E-46DA-4D0B-8014-3FC7E4A41F71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2" authorId="0" shapeId="0" xr:uid="{47A43615-389E-4098-9CA3-8991F1B572B1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6" authorId="0" shapeId="0" xr:uid="{0D76A87F-37EC-4B80-972B-5733E76EBB14}">
      <text>
        <r>
          <rPr>
            <sz val="9"/>
            <color indexed="81"/>
            <rFont val="Tahoma"/>
            <charset val="1"/>
          </rPr>
          <t>Source: LiST</t>
        </r>
      </text>
    </comment>
    <comment ref="C27" authorId="0" shapeId="0" xr:uid="{8A0E9FC0-38B4-42FD-A0F4-EA8E8C0F64BD}">
      <text>
        <r>
          <rPr>
            <sz val="9"/>
            <color indexed="81"/>
            <rFont val="Tahoma"/>
            <charset val="1"/>
          </rPr>
          <t>Source: LiST</t>
        </r>
      </text>
    </comment>
    <comment ref="C28" authorId="0" shapeId="0" xr:uid="{56C22A23-729C-4EAF-9605-A28F55FA1D79}">
      <text>
        <r>
          <rPr>
            <sz val="9"/>
            <color indexed="81"/>
            <rFont val="Tahoma"/>
            <charset val="1"/>
          </rPr>
          <t>Source: LiST</t>
        </r>
      </text>
    </comment>
    <comment ref="C29" authorId="0" shapeId="0" xr:uid="{AA7794BE-A2F0-42B5-B5C9-E08F486B97E1}">
      <text>
        <r>
          <rPr>
            <sz val="9"/>
            <color indexed="81"/>
            <rFont val="Tahoma"/>
            <charset val="1"/>
          </rPr>
          <t>Source: LiST</t>
        </r>
      </text>
    </comment>
    <comment ref="C30" authorId="0" shapeId="0" xr:uid="{3CA71CAA-4187-4E31-BE7B-2AED9A3133E8}">
      <text>
        <r>
          <rPr>
            <sz val="9"/>
            <color indexed="81"/>
            <rFont val="Tahoma"/>
            <charset val="1"/>
          </rPr>
          <t>Source: LiST</t>
        </r>
      </text>
    </comment>
    <comment ref="C31" authorId="0" shapeId="0" xr:uid="{618C1D6C-0002-497C-B6E0-A6A124CF2283}">
      <text>
        <r>
          <rPr>
            <sz val="9"/>
            <color indexed="81"/>
            <rFont val="Tahoma"/>
            <charset val="1"/>
          </rPr>
          <t>Source: LiST</t>
        </r>
      </text>
    </comment>
    <comment ref="C32" authorId="0" shapeId="0" xr:uid="{47251287-8A24-4078-8C02-72076C6B0241}">
      <text>
        <r>
          <rPr>
            <sz val="9"/>
            <color indexed="81"/>
            <rFont val="Tahoma"/>
            <charset val="1"/>
          </rPr>
          <t>Source: LiST</t>
        </r>
      </text>
    </comment>
    <comment ref="C33" authorId="0" shapeId="0" xr:uid="{33F6297B-B8F7-4453-A32D-CD4DA860B2AE}">
      <text>
        <r>
          <rPr>
            <sz val="9"/>
            <color indexed="81"/>
            <rFont val="Tahoma"/>
            <charset val="1"/>
          </rPr>
          <t>Source: LiST</t>
        </r>
      </text>
    </comment>
    <comment ref="C34" authorId="0" shapeId="0" xr:uid="{AAB6CAB8-7B3E-4540-86FC-3555425BF3C2}">
      <text>
        <r>
          <rPr>
            <sz val="9"/>
            <color indexed="81"/>
            <rFont val="Tahoma"/>
            <charset val="1"/>
          </rPr>
          <t>Source: 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2" authorId="0" shapeId="0" xr:uid="{06239E49-D687-4AD0-9824-8A3B1A7A056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2" authorId="0" shapeId="0" xr:uid="{59186BB6-7775-4B0C-87E3-B3224DD0B27E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2" authorId="0" shapeId="0" xr:uid="{FCE7099E-4994-46DE-AE80-E5A1B658487E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2" authorId="0" shapeId="0" xr:uid="{FD1F85F2-B443-4D47-AF2C-38EAD43FA6E1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2" authorId="0" shapeId="0" xr:uid="{DE6570E4-D770-4CE8-9005-58F8A558AEFA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3" authorId="0" shapeId="0" xr:uid="{A5CA3C09-2DA3-4B16-8DB2-437CF6319C43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3" authorId="0" shapeId="0" xr:uid="{F9C6DB6B-E669-4F4C-8226-1E43DBBCE691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3" authorId="0" shapeId="0" xr:uid="{2A95AF76-7CD1-4B19-A857-B5FB29624504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3" authorId="0" shapeId="0" xr:uid="{1F04E583-349A-4325-B8C3-F14CD97DE46D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3" authorId="0" shapeId="0" xr:uid="{BD96FA8C-0609-44C1-8F94-C1A5A6C80D42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4" authorId="0" shapeId="0" xr:uid="{F53B8C7B-245A-4680-931F-DB5EB07CF31A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4" authorId="0" shapeId="0" xr:uid="{45377E0F-9548-41B6-9721-439A3D1DDFC1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4" authorId="0" shapeId="0" xr:uid="{C51FE3DD-D18E-476B-8278-3EF7C1D3CADF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4" authorId="0" shapeId="0" xr:uid="{19D02A6D-2782-4EBB-A11B-83EE8E381DC1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4" authorId="0" shapeId="0" xr:uid="{B8DC4FBA-0AE1-4BE2-BEFE-E57E044ACC5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5" authorId="0" shapeId="0" xr:uid="{C9ACDE2C-7CB2-4DF9-AB8F-5C26F6C5C694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5" authorId="0" shapeId="0" xr:uid="{FAA6231C-901D-4536-AC08-6D0A1FD397E1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5" authorId="0" shapeId="0" xr:uid="{08E306C0-F827-4F64-B896-B2D3402F63C4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5" authorId="0" shapeId="0" xr:uid="{2277311B-FEB1-4093-A1CC-9B1E1F915307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5" authorId="0" shapeId="0" xr:uid="{CF019865-22F8-452C-B306-C672E861F906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8" authorId="0" shapeId="0" xr:uid="{B43AB024-F225-41B7-BCC1-4645CE96D6C6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D8" authorId="0" shapeId="0" xr:uid="{A5ACF60C-BA78-4097-A7B3-DE8B2BCA74B8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E8" authorId="0" shapeId="0" xr:uid="{ED8340E3-D129-4645-96D8-8D2F6AD89180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F8" authorId="0" shapeId="0" xr:uid="{DF99F817-6CB2-4FDB-BB4A-54E61360FAD0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G8" authorId="0" shapeId="0" xr:uid="{CEAF4F1B-48EA-421C-ADA1-9DE0384EBD8C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C9" authorId="0" shapeId="0" xr:uid="{88D82CF1-5580-4A41-A5A9-56FE6FAA91CC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D9" authorId="0" shapeId="0" xr:uid="{7B74B678-5C18-4506-9E18-1542CFD1CF32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E9" authorId="0" shapeId="0" xr:uid="{AC1E638A-A7EA-428D-B9D6-41747165DB4B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F9" authorId="0" shapeId="0" xr:uid="{D7AA6268-2C2D-4C0D-B763-F92FEE9ECA50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G9" authorId="0" shapeId="0" xr:uid="{6F5A09E7-AF1A-4FCA-8B8C-2AC37CBBCBB7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C10" authorId="0" shapeId="0" xr:uid="{1A3AC91A-3753-46B8-81FF-84EDA74595EF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D10" authorId="0" shapeId="0" xr:uid="{5DE34738-85FA-44C0-9488-C863D71D481F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E10" authorId="0" shapeId="0" xr:uid="{D1A15A11-BB69-4F93-96FD-6A18BB3EDFED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F10" authorId="0" shapeId="0" xr:uid="{6C58EA4B-92DF-43DF-B068-9267928C4DEE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G10" authorId="0" shapeId="0" xr:uid="{54463EEA-07AE-4DA0-BAB6-5C6AA40D0771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C11" authorId="0" shapeId="0" xr:uid="{A686F727-63FB-4A00-ACE1-EDA5263F4921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D11" authorId="0" shapeId="0" xr:uid="{97DD07E1-7E72-4711-B613-7EAC36C52F6F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E11" authorId="0" shapeId="0" xr:uid="{0FDF9CEF-2C07-4B73-B494-23F90B70F8B3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F11" authorId="0" shapeId="0" xr:uid="{1F22D492-E881-4EF5-AA0A-47552CC3F16E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G11" authorId="0" shapeId="0" xr:uid="{B5244349-E14A-4342-BFB5-4F11CEAB82C9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C14" authorId="0" shapeId="0" xr:uid="{6A8DE3E9-DF6A-4662-B3BA-F9730663AF4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14" authorId="0" shapeId="0" xr:uid="{1F03149A-8E69-4DDB-BD8E-97CFB28AD330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4" authorId="0" shapeId="0" xr:uid="{BFC4FA5A-8533-4DB2-B17C-AD2B9D08BD6F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F14" authorId="0" shapeId="0" xr:uid="{784D9DCA-8535-4802-A2C0-8CBD4F26BE34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G14" authorId="0" shapeId="0" xr:uid="{631F506F-1C7C-4DE0-8E0A-3516CCA17250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H14" authorId="0" shapeId="0" xr:uid="{4AEC1D97-B1DD-4646-9E60-E015539220F7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I14" authorId="0" shapeId="0" xr:uid="{353C9A51-4278-4914-90F5-BB691E0B7125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J14" authorId="0" shapeId="0" xr:uid="{ABDF98E1-BF2E-4F3E-86B3-F5D932C0F499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K14" authorId="0" shapeId="0" xr:uid="{5784CB3C-3812-4EBF-A3C5-B018C357A42C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L14" authorId="0" shapeId="0" xr:uid="{2C7BCCF4-9E96-40A2-8F97-872000B23B4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14" authorId="0" shapeId="0" xr:uid="{D0F2E5F1-9F42-4122-AE02-29C3CA99BF6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14" authorId="0" shapeId="0" xr:uid="{DB393FA5-D0A9-4DC4-B01D-9891272E5C4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14" authorId="0" shapeId="0" xr:uid="{0786123C-BB24-44F6-B860-980D84B4D80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  <author>Dominic Delport</author>
  </authors>
  <commentList>
    <comment ref="C2" authorId="0" shapeId="0" xr:uid="{7C92AD63-32DC-452F-B7A9-64B073758BEF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D2" authorId="0" shapeId="0" xr:uid="{4B0DB546-C90C-462B-B0C9-1939209C9EC0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G2" authorId="1" shapeId="0" xr:uid="{6B0A09E8-7C93-4372-8C15-8B0F45D5AEFD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  <comment ref="C3" authorId="0" shapeId="0" xr:uid="{E097F4F7-F0D2-46DB-9941-282860CFDFFE}">
      <text>
        <r>
          <rPr>
            <sz val="9"/>
            <color indexed="81"/>
            <rFont val="Tahoma"/>
            <charset val="1"/>
          </rPr>
          <t>Source: LiST</t>
        </r>
      </text>
    </comment>
    <comment ref="D3" authorId="0" shapeId="0" xr:uid="{0C960CF8-A052-4DE1-B5E6-806CAE17DEB2}">
      <text>
        <r>
          <rPr>
            <sz val="9"/>
            <color indexed="81"/>
            <rFont val="Tahoma"/>
            <charset val="1"/>
          </rPr>
          <t>Source: LiST</t>
        </r>
      </text>
    </comment>
    <comment ref="G3" authorId="1" shapeId="0" xr:uid="{F82038E1-BF1B-4424-AEC2-4BAF11F0EBE0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  <comment ref="C4" authorId="0" shapeId="0" xr:uid="{5315E4BF-ACB8-4585-92D5-7407F380038E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D4" authorId="0" shapeId="0" xr:uid="{74D4D533-1405-417A-8E81-CABBA89F53AD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E4" authorId="0" shapeId="0" xr:uid="{E5E096A0-274D-426F-BBA2-78095E5728BF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F4" authorId="0" shapeId="0" xr:uid="{13C0AE55-27F7-437C-B3B3-A26E671394E0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G4" authorId="1" shapeId="0" xr:uid="{FAE873A1-7BE6-4206-AB91-1C6BBEAAB062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2" authorId="0" shapeId="0" xr:uid="{2D9C5420-30BA-4D43-BA8F-B41808236D4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2" authorId="0" shapeId="0" xr:uid="{F1AC815D-30DB-4060-8AC6-CD916329793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2" authorId="0" shapeId="0" xr:uid="{CAC8FA86-9C2F-4084-812C-A660B40D0C6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2" authorId="0" shapeId="0" xr:uid="{FC57F36A-EB12-40A9-A97E-DCE8A519D7D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2" authorId="0" shapeId="0" xr:uid="{97E00A25-EF43-40DF-80AA-1DE73496F8B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2" authorId="0" shapeId="0" xr:uid="{B9A0B601-69A4-4CFA-8920-BB5951EA988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2" authorId="0" shapeId="0" xr:uid="{0C7F55B1-669D-4A30-AC9E-06F0EBF1F89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2" authorId="0" shapeId="0" xr:uid="{E3AA71B3-F683-4280-B49C-BBAE0206E32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2" authorId="0" shapeId="0" xr:uid="{042D2160-471D-4392-A780-08AA5B056C1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2" authorId="0" shapeId="0" xr:uid="{5EEF2390-8A9A-4473-8402-6DEF5996A49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2" authorId="0" shapeId="0" xr:uid="{E1E5546F-F71F-44D7-B996-EF674FFBA1D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2" authorId="0" shapeId="0" xr:uid="{5AA04B31-E579-4805-8E3B-27095301470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2" authorId="0" shapeId="0" xr:uid="{F75A7218-BDBB-4285-B8FB-1D47B9BA695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2" authorId="0" shapeId="0" xr:uid="{7B47F253-4473-4FA9-A70F-64D7E00AC2B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4" authorId="0" shapeId="0" xr:uid="{56F19350-AC90-4BBB-9DE4-035779EBC26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4" authorId="0" shapeId="0" xr:uid="{4109C8DD-CACC-4A15-9E3D-B52BFB0B5F6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4" authorId="0" shapeId="0" xr:uid="{26C3F7D3-C03E-456D-A54B-0EA0E42C900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4" authorId="0" shapeId="0" xr:uid="{7A45CA45-1EDA-4E0F-B2F6-98110D39F31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4" authorId="0" shapeId="0" xr:uid="{1A9FF735-6FF1-458C-A32D-18B46033C7D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4" authorId="0" shapeId="0" xr:uid="{4484D954-FCB9-4D69-AD35-D7985D309A5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4" authorId="0" shapeId="0" xr:uid="{16A8F100-29B6-4D86-981C-2C1CA692E75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4" authorId="0" shapeId="0" xr:uid="{12F6F41C-1B38-40AA-AF84-91DFA342CF2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4" authorId="0" shapeId="0" xr:uid="{7354EC91-C3AF-47FA-A982-5A01D77F599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4" authorId="0" shapeId="0" xr:uid="{D78ECBBA-77DF-4C13-B257-D9DDC3F9652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4" authorId="0" shapeId="0" xr:uid="{DE23986B-DAEE-4AF0-A42A-DEB2BE0D2C9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4" authorId="0" shapeId="0" xr:uid="{21960B34-7630-465A-8A52-FDA87C378A1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4" authorId="0" shapeId="0" xr:uid="{1E6443D2-D921-4569-AA78-FB68217C7E6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4" authorId="0" shapeId="0" xr:uid="{4ECE30EB-E0F4-4270-B601-26C891471D8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3" authorId="0" shapeId="0" xr:uid="{9B997E49-F2DA-4426-9D8F-D56D5776078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13" authorId="0" shapeId="0" xr:uid="{95B8B2D6-2752-47A3-A7FC-F4ABCA298F9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13" authorId="0" shapeId="0" xr:uid="{27CCC535-347D-444C-A185-10B21D8D8A5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13" authorId="0" shapeId="0" xr:uid="{2A526C94-0BCE-4766-A0B9-885245527C1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13" authorId="0" shapeId="0" xr:uid="{351CF5EC-D2D7-493A-9C12-32422257CA2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13" authorId="0" shapeId="0" xr:uid="{AFF8E1A3-9903-4287-9D94-C442ADCD6A4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13" authorId="0" shapeId="0" xr:uid="{A3132421-433B-4E2A-ACB2-F3A64C4EAA8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13" authorId="0" shapeId="0" xr:uid="{2914F101-238F-4889-8DC7-DC8E07E7BB8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13" authorId="0" shapeId="0" xr:uid="{24AE86B5-4EE4-4345-AC6F-3CD95E7E2FC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13" authorId="0" shapeId="0" xr:uid="{75E4B7BF-4187-4D0B-ADB4-5B9AD70B2FA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13" authorId="0" shapeId="0" xr:uid="{8B82A6A3-D90B-4186-A15A-49A8A73944C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13" authorId="0" shapeId="0" xr:uid="{B4DEC90B-675B-4082-BE01-FF5655CD6DF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13" authorId="0" shapeId="0" xr:uid="{8448882E-FE52-4C4F-9882-35E122B4B34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13" authorId="0" shapeId="0" xr:uid="{808D8C6F-996C-405A-9FEE-909379E8C79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B2" authorId="0" shapeId="0" xr:uid="{F186F254-CF9A-4760-B12B-D2D5C2645616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" authorId="0" shapeId="0" xr:uid="{54937119-2575-4F88-8022-27D0150BB796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3" authorId="0" shapeId="0" xr:uid="{69AD5B76-97B6-4969-8529-7E143E84E154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3" authorId="0" shapeId="0" xr:uid="{ACDDADF3-F66A-4102-A236-E340A65F8AC2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D4" authorId="0" shapeId="0" xr:uid="{C9874ABB-685B-4253-BE78-F6B10DF1FC2B}">
      <text>
        <r>
          <rPr>
            <sz val="9"/>
            <color indexed="81"/>
            <rFont val="Tahoma"/>
            <charset val="1"/>
          </rPr>
          <t>Source: 10% of GDP per capita</t>
        </r>
      </text>
    </comment>
    <comment ref="D5" authorId="0" shapeId="0" xr:uid="{B5026BEF-91A9-441E-9210-A1313E3EFDD3}">
      <text>
        <r>
          <rPr>
            <sz val="9"/>
            <color indexed="81"/>
            <rFont val="Tahoma"/>
            <charset val="1"/>
          </rPr>
          <t>Source: Personnel wages based on 2016 GDP per capita and time requirements estimated by authors</t>
        </r>
      </text>
    </comment>
    <comment ref="B7" authorId="0" shapeId="0" xr:uid="{B49C58F7-168C-472E-81AD-3EDCBFB85F7D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7" authorId="0" shapeId="0" xr:uid="{FD06E528-5EA8-4D64-A751-1A6A42A7FC7A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8" authorId="0" shapeId="0" xr:uid="{DB82CAFE-FA81-4811-B2E3-F55C14B766AD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8" authorId="0" shapeId="0" xr:uid="{FE1E0551-78C6-453C-B117-9EC347C41F08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9" authorId="0" shapeId="0" xr:uid="{32FFF862-D352-40CD-BCA3-E040F9D1E0DC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9" authorId="0" shapeId="0" xr:uid="{D46B928A-EFC5-4004-B38C-0728C939B298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10" authorId="0" shapeId="0" xr:uid="{48EC854B-B47E-4228-90B5-9F1427C07055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0" authorId="0" shapeId="0" xr:uid="{0FF99A99-6A95-4BE6-AACA-05DFE371504B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1" authorId="0" shapeId="0" xr:uid="{6E8362A6-E675-4183-A3FB-CD331A0C6D13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1" authorId="0" shapeId="0" xr:uid="{09D6557E-222A-4555-828A-1CC73260B1A3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2" authorId="0" shapeId="0" xr:uid="{395986B0-6B70-455F-9790-FBD4139A8A24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2" authorId="0" shapeId="0" xr:uid="{54A5C472-0FB3-4E37-8985-C8F617769528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3" authorId="0" shapeId="0" xr:uid="{2C8C5E33-9BE6-4C80-8210-0431D10B6E99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3" authorId="0" shapeId="0" xr:uid="{8421DE9B-6A90-4AAF-B2E6-6C46F7B47F6B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4" authorId="0" shapeId="0" xr:uid="{60089D64-9084-4C06-92F1-3D8EAFF52EC2}">
      <text>
        <r>
          <rPr>
            <sz val="9"/>
            <color indexed="81"/>
            <rFont val="Tahoma"/>
            <charset val="1"/>
          </rPr>
          <t>Source: LiST</t>
        </r>
      </text>
    </comment>
    <comment ref="D14" authorId="0" shapeId="0" xr:uid="{092B06C6-9B52-4325-BEFC-BFDAA300D9BB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5" authorId="0" shapeId="0" xr:uid="{6D998232-178C-431D-A2EC-3F16AEF0537E}">
      <text>
        <r>
          <rPr>
            <sz val="9"/>
            <color indexed="81"/>
            <rFont val="Tahoma"/>
            <charset val="1"/>
          </rPr>
          <t>Source: LiST</t>
        </r>
      </text>
    </comment>
    <comment ref="D15" authorId="0" shapeId="0" xr:uid="{9ED307F3-4546-4F92-8C53-837B6734798E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6" authorId="0" shapeId="0" xr:uid="{14981782-F09A-4999-A900-B015E4B1FE79}">
      <text>
        <r>
          <rPr>
            <sz val="9"/>
            <color indexed="81"/>
            <rFont val="Tahoma"/>
            <charset val="1"/>
          </rPr>
          <t>Source: LiST</t>
        </r>
      </text>
    </comment>
    <comment ref="D16" authorId="0" shapeId="0" xr:uid="{CD194F8B-78C4-4975-991D-A670CFFF48E1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7" authorId="0" shapeId="0" xr:uid="{3ADA30AA-F127-4E1E-B4C5-A7045F5A920F}">
      <text>
        <r>
          <rPr>
            <sz val="9"/>
            <color indexed="81"/>
            <rFont val="Tahoma"/>
            <charset val="1"/>
          </rPr>
          <t>Source: UNICEF State of the World's Children coverage map 2017 &lt;http://www.ign.org/cm_data/UNICEF_map.jpg&gt;</t>
        </r>
      </text>
    </comment>
    <comment ref="D17" authorId="0" shapeId="0" xr:uid="{9CA04B1D-5E56-40E9-8AE2-F9EF41836FC6}">
      <text>
        <r>
          <rPr>
            <sz val="9"/>
            <color indexed="81"/>
            <rFont val="Tahoma"/>
            <charset val="1"/>
          </rPr>
          <t>Source: Costing based upon estimates by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8" authorId="0" shapeId="0" xr:uid="{ACE1FCC0-4924-4593-A037-E717E2591835}">
      <text>
        <r>
          <rPr>
            <sz val="9"/>
            <color indexed="81"/>
            <rFont val="Tahoma"/>
            <charset val="1"/>
          </rPr>
          <t>Source: LiST</t>
        </r>
      </text>
    </comment>
    <comment ref="D18" authorId="0" shapeId="0" xr:uid="{8E158A30-7893-4CEA-BCD3-CF36D45A802C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19" authorId="0" shapeId="0" xr:uid="{FB476E1E-0331-44FB-B14F-BB6C3BF56971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20" authorId="0" shapeId="0" xr:uid="{A08271E2-B036-43F1-9618-1E4A0F6B6AC3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21" authorId="0" shapeId="0" xr:uid="{FECDB604-54B0-4DB3-8787-B6703DA81D8C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1" authorId="0" shapeId="0" xr:uid="{3A3DA25A-9F08-4DDB-B08A-B358145B423D}">
      <text>
        <r>
          <rPr>
            <sz val="9"/>
            <color indexed="81"/>
            <rFont val="Tahoma"/>
            <charset val="1"/>
          </rPr>
          <t>Source: Personnel wages based on 2016 GDP per capita and time requirements estimated by authors</t>
        </r>
      </text>
    </comment>
    <comment ref="D22" authorId="0" shapeId="0" xr:uid="{68694B12-1681-4945-ABC3-76D8DB2B4D88}">
      <text>
        <r>
          <rPr>
            <sz val="9"/>
            <color indexed="81"/>
            <rFont val="Tahoma"/>
            <charset val="1"/>
          </rPr>
          <t xml:space="preserve">Source: </t>
        </r>
      </text>
    </comment>
    <comment ref="B23" authorId="0" shapeId="0" xr:uid="{541201DD-B5E4-4C8A-AEFE-8BA1172B2045}">
      <text>
        <r>
          <rPr>
            <sz val="9"/>
            <color indexed="81"/>
            <rFont val="Tahoma"/>
            <charset val="1"/>
          </rPr>
          <t>Source: LiST</t>
        </r>
      </text>
    </comment>
    <comment ref="D23" authorId="0" shapeId="0" xr:uid="{4900B6E7-DD37-4163-9FB5-DAB1C9F87D59}">
      <text>
        <r>
          <rPr>
            <sz val="9"/>
            <color indexed="81"/>
            <rFont val="Tahoma"/>
            <charset val="1"/>
          </rPr>
          <t>Source: Material costs taken from 2014 WHO International Drug Pricing &lt;http://apps.who.int/medicinedocs/documents/s21982en/s21982en.pdf&gt;,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4" authorId="0" shapeId="0" xr:uid="{2A0AB78C-58FC-4818-907B-E17A4B30C1FE}">
      <text>
        <r>
          <rPr>
            <sz val="9"/>
            <color indexed="81"/>
            <rFont val="Tahoma"/>
            <charset val="1"/>
          </rPr>
          <t>Source: LiST</t>
        </r>
      </text>
    </comment>
    <comment ref="D24" authorId="0" shapeId="0" xr:uid="{03445514-82E8-480F-99E7-703B738AE027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5" authorId="0" shapeId="0" xr:uid="{476BC29A-0F41-47B1-A199-00B3F00E8CE5}">
      <text>
        <r>
          <rPr>
            <sz val="9"/>
            <color indexed="81"/>
            <rFont val="Tahoma"/>
            <charset val="1"/>
          </rPr>
          <t>Source: LiST</t>
        </r>
      </text>
    </comment>
    <comment ref="D25" authorId="0" shapeId="0" xr:uid="{3A7F4879-D45B-4EB2-B6E2-4F299C762399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6" authorId="0" shapeId="0" xr:uid="{15C315B0-2E08-46F5-80A5-A3D183E9762B}">
      <text>
        <r>
          <rPr>
            <sz val="9"/>
            <color indexed="81"/>
            <rFont val="Tahoma"/>
            <charset val="1"/>
          </rPr>
          <t>Source: LiST</t>
        </r>
      </text>
    </comment>
    <comment ref="D26" authorId="0" shapeId="0" xr:uid="{B100472C-74EE-417D-9FC4-C87AAEE9460E}">
      <text>
        <r>
          <rPr>
            <sz val="9"/>
            <color indexed="81"/>
            <rFont val="Tahoma"/>
            <charset val="1"/>
          </rPr>
          <t>Source: Drug dosages taken from WHO eLENA, drug costs taken from UNICEF pricing list at &lt;https://www.unicef.org/supply/files/Micro_Nutrient_Powder_-_September_2016(1).pdf&gt;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7" authorId="0" shapeId="0" xr:uid="{8D0C937B-4D28-4EC8-94BC-FA6333D20E59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7" authorId="0" shapeId="0" xr:uid="{363ED6BD-AD4C-408C-8088-43979A5075A8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28" authorId="0" shapeId="0" xr:uid="{D4C42698-369E-46E2-BD88-FA40F3CF253C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D28" authorId="0" shapeId="0" xr:uid="{11E5AFF7-A267-4147-80E8-CD2A043A6A18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9" authorId="0" shapeId="0" xr:uid="{4E970925-681A-4CA1-8866-E5E1E71DCE3A}">
      <text>
        <r>
          <rPr>
            <sz val="9"/>
            <color indexed="81"/>
            <rFont val="Tahoma"/>
            <charset val="1"/>
          </rPr>
          <t>Source: LiST</t>
        </r>
      </text>
    </comment>
    <comment ref="D29" authorId="0" shapeId="0" xr:uid="{888DB4B1-B75E-4D50-82A2-C9572125E15F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30" authorId="0" shapeId="0" xr:uid="{01CA89D5-06B1-41E8-A5E9-686405851D3D}">
      <text>
        <r>
          <rPr>
            <sz val="9"/>
            <color indexed="81"/>
            <rFont val="Tahoma"/>
            <charset val="1"/>
          </rPr>
          <t>Source: LiST</t>
        </r>
      </text>
    </comment>
    <comment ref="D30" authorId="0" shapeId="0" xr:uid="{81DF38DD-DB55-48CE-A579-0425DD601734}">
      <text>
        <r>
          <rPr>
            <sz val="9"/>
            <color indexed="81"/>
            <rFont val="Tahoma"/>
            <charset val="1"/>
          </rPr>
          <t xml:space="preserve">Source: </t>
        </r>
      </text>
    </comment>
    <comment ref="B31" authorId="0" shapeId="0" xr:uid="{8DE3417F-CDC8-453A-8C93-46299AD43AA8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D31" authorId="0" shapeId="0" xr:uid="{5E7D3B48-DC43-48E0-965B-C39B4C66099D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32" authorId="0" shapeId="0" xr:uid="{BEF30B58-8791-4606-8BE7-39086C8CC032}">
      <text>
        <r>
          <rPr>
            <sz val="9"/>
            <color indexed="81"/>
            <rFont val="Tahoma"/>
            <charset val="1"/>
          </rPr>
          <t>Source: LiST</t>
        </r>
      </text>
    </comment>
    <comment ref="B33" authorId="0" shapeId="0" xr:uid="{77BBEAAC-FB71-491A-BC03-BA8C9F460354}">
      <text>
        <r>
          <rPr>
            <sz val="9"/>
            <color indexed="81"/>
            <rFont val="Tahoma"/>
            <charset val="1"/>
          </rPr>
          <t>Source: LiST</t>
        </r>
      </text>
    </comment>
    <comment ref="B34" authorId="0" shapeId="0" xr:uid="{30858D04-47D7-4271-B602-811D5947BEA4}">
      <text>
        <r>
          <rPr>
            <sz val="9"/>
            <color indexed="81"/>
            <rFont val="Tahoma"/>
            <charset val="1"/>
          </rPr>
          <t>Source: LiST</t>
        </r>
      </text>
    </comment>
    <comment ref="B35" authorId="0" shapeId="0" xr:uid="{04E483E9-7C3E-4750-B680-775D31C1A778}">
      <text>
        <r>
          <rPr>
            <sz val="9"/>
            <color indexed="81"/>
            <rFont val="Tahoma"/>
            <charset val="1"/>
          </rPr>
          <t>Source: LiST</t>
        </r>
      </text>
    </comment>
    <comment ref="B36" authorId="0" shapeId="0" xr:uid="{7D674CD3-D2C6-4C45-A040-9491999DB1A2}">
      <text>
        <r>
          <rPr>
            <sz val="9"/>
            <color indexed="81"/>
            <rFont val="Tahoma"/>
            <charset val="1"/>
          </rPr>
          <t>Source: LiST</t>
        </r>
      </text>
    </comment>
    <comment ref="B37" authorId="0" shapeId="0" xr:uid="{5FAB1FCC-FC2E-43EC-B121-B7E6E5EC9559}">
      <text>
        <r>
          <rPr>
            <sz val="9"/>
            <color indexed="81"/>
            <rFont val="Tahoma"/>
            <charset val="1"/>
          </rPr>
          <t>Source: LiST</t>
        </r>
      </text>
    </comment>
    <comment ref="D37" authorId="0" shapeId="0" xr:uid="{5E89361C-D1EB-4EDC-8175-1EADF9085D1F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38" authorId="0" shapeId="0" xr:uid="{CBA41731-C6E8-4B99-98BD-FCF73744991E}">
      <text>
        <r>
          <rPr>
            <sz val="9"/>
            <color indexed="81"/>
            <rFont val="Tahoma"/>
            <charset val="1"/>
          </rPr>
          <t>Source: DHS</t>
        </r>
      </text>
    </comment>
    <comment ref="D38" authorId="0" shapeId="0" xr:uid="{D8CDD912-C260-4C48-8B19-557C17B5A427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<sst xmlns="http://schemas.openxmlformats.org/spreadsheetml/2006/main" count="1102" uniqueCount="271">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</sst>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9" fillId="3" borderId="1" xfId="725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7" zoomScaleNormal="100" workbookViewId="0">
      <selection activeCell="C45" sqref="C45"/>
    </sheetView>
  </sheetViews>
  <sheetFormatPr defaultColWidth="14.453125" defaultRowHeight="15.75" customHeight="1" x14ac:dyDescent="0.25"/>
  <cols>
    <col min="1" max="1" width="27.7265625" style="12" customWidth="1"/>
    <col min="2" max="2" width="38.7265625" style="16" customWidth="1"/>
    <col min="3" max="16384" width="14.453125" style="12"/>
  </cols>
  <sheetData>
    <row r="1" spans="1:3" ht="16" customHeight="1" x14ac:dyDescent="0.3">
      <c r="A1" s="1" t="s">
        <v>100</v>
      </c>
      <c r="B1" s="41" t="s">
        <v>164</v>
      </c>
      <c r="C1" s="41" t="s">
        <v>165</v>
      </c>
    </row>
    <row r="2" spans="1:3" ht="16" customHeight="1" x14ac:dyDescent="0.3">
      <c r="A2" s="12" t="s">
        <v>191</v>
      </c>
      <c r="B2" s="41"/>
      <c r="C2" s="41"/>
    </row>
    <row r="3" spans="1:3" ht="16" customHeight="1" x14ac:dyDescent="0.3">
      <c r="A3" s="1"/>
      <c r="B3" s="7" t="s">
        <v>193</v>
      </c>
      <c r="C3" s="67">
        <v>2017</v>
      </c>
    </row>
    <row r="4" spans="1:3" ht="16" customHeight="1" x14ac:dyDescent="0.3">
      <c r="A4" s="1"/>
      <c r="B4" s="9" t="s">
        <v>192</v>
      </c>
      <c r="C4" s="68">
        <v>2030</v>
      </c>
    </row>
    <row r="5" spans="1:3" ht="16" customHeight="1" x14ac:dyDescent="0.3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34661</v>
      </c>
    </row>
    <row r="8" spans="1:3" ht="15" customHeight="1" x14ac:dyDescent="0.25">
      <c r="B8" s="7" t="s">
        <v>106</v>
      </c>
      <c r="C8" s="70">
        <v>0.127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0.51168388366699202</v>
      </c>
    </row>
    <row r="11" spans="1:3" ht="15" customHeight="1" x14ac:dyDescent="0.25">
      <c r="B11" s="7" t="s">
        <v>108</v>
      </c>
      <c r="C11" s="70">
        <v>0.51800000000000002</v>
      </c>
    </row>
    <row r="12" spans="1:3" ht="15" customHeight="1" x14ac:dyDescent="0.25">
      <c r="B12" s="7" t="s">
        <v>109</v>
      </c>
      <c r="C12" s="70">
        <v>0.72099999999999997</v>
      </c>
    </row>
    <row r="13" spans="1:3" ht="15" customHeight="1" x14ac:dyDescent="0.25">
      <c r="B13" s="7" t="s">
        <v>110</v>
      </c>
      <c r="C13" s="70">
        <v>0.49299999999999999</v>
      </c>
    </row>
    <row r="14" spans="1:3" ht="15" customHeight="1" x14ac:dyDescent="0.25">
      <c r="B14" s="12"/>
    </row>
    <row r="15" spans="1:3" ht="15" customHeight="1" x14ac:dyDescent="0.3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7.7300000000000008E-2</v>
      </c>
    </row>
    <row r="24" spans="1:3" ht="15" customHeight="1" x14ac:dyDescent="0.25">
      <c r="B24" s="20" t="s">
        <v>102</v>
      </c>
      <c r="C24" s="71">
        <v>0.50680000000000003</v>
      </c>
    </row>
    <row r="25" spans="1:3" ht="15" customHeight="1" x14ac:dyDescent="0.25">
      <c r="B25" s="20" t="s">
        <v>103</v>
      </c>
      <c r="C25" s="71">
        <v>0.33629999999999993</v>
      </c>
    </row>
    <row r="26" spans="1:3" ht="15" customHeight="1" x14ac:dyDescent="0.25">
      <c r="B26" s="20" t="s">
        <v>104</v>
      </c>
      <c r="C26" s="71">
        <v>7.9600000000000004E-2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0.223</v>
      </c>
    </row>
    <row r="30" spans="1:3" ht="14.25" customHeight="1" x14ac:dyDescent="0.25">
      <c r="B30" s="30" t="s">
        <v>76</v>
      </c>
      <c r="C30" s="73">
        <v>0.11699999999999999</v>
      </c>
    </row>
    <row r="31" spans="1:3" ht="14.25" customHeight="1" x14ac:dyDescent="0.25">
      <c r="B31" s="30" t="s">
        <v>77</v>
      </c>
      <c r="C31" s="73">
        <v>0.161</v>
      </c>
    </row>
    <row r="32" spans="1:3" ht="14.25" customHeight="1" x14ac:dyDescent="0.25">
      <c r="B32" s="30" t="s">
        <v>78</v>
      </c>
      <c r="C32" s="73">
        <v>0.499</v>
      </c>
    </row>
    <row r="33" spans="1:5" ht="13" x14ac:dyDescent="0.25">
      <c r="B33" s="32" t="s">
        <v>129</v>
      </c>
      <c r="C33" s="74">
        <f>SUM(C29:C32)</f>
        <v>1</v>
      </c>
    </row>
    <row r="34" spans="1:5" ht="15" customHeight="1" x14ac:dyDescent="0.25"/>
    <row r="35" spans="1:5" ht="15" customHeight="1" x14ac:dyDescent="0.3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11.6</v>
      </c>
    </row>
    <row r="38" spans="1:5" ht="15" customHeight="1" x14ac:dyDescent="0.25">
      <c r="B38" s="16" t="s">
        <v>91</v>
      </c>
      <c r="C38" s="75">
        <v>22.6</v>
      </c>
      <c r="D38" s="17"/>
      <c r="E38" s="18"/>
    </row>
    <row r="39" spans="1:5" ht="15" customHeight="1" x14ac:dyDescent="0.25">
      <c r="B39" s="16" t="s">
        <v>90</v>
      </c>
      <c r="C39" s="75">
        <v>26.9</v>
      </c>
      <c r="D39" s="17"/>
      <c r="E39" s="17"/>
    </row>
    <row r="40" spans="1:5" ht="15" customHeight="1" x14ac:dyDescent="0.25">
      <c r="B40" s="16" t="s">
        <v>171</v>
      </c>
      <c r="C40" s="75">
        <v>0.78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13.9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2.8300000000000002E-2</v>
      </c>
      <c r="D45" s="17"/>
    </row>
    <row r="46" spans="1:5" ht="15.75" customHeight="1" x14ac:dyDescent="0.25">
      <c r="B46" s="16" t="s">
        <v>11</v>
      </c>
      <c r="C46" s="71">
        <v>0.10050000000000001</v>
      </c>
      <c r="D46" s="17"/>
    </row>
    <row r="47" spans="1:5" ht="15.75" customHeight="1" x14ac:dyDescent="0.25">
      <c r="B47" s="16" t="s">
        <v>12</v>
      </c>
      <c r="C47" s="71">
        <v>0.1741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0.69709999999999994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3.8224665935850002</v>
      </c>
      <c r="D51" s="17"/>
    </row>
    <row r="52" spans="1:4" ht="15" customHeight="1" x14ac:dyDescent="0.25">
      <c r="B52" s="16" t="s">
        <v>125</v>
      </c>
      <c r="C52" s="76">
        <v>3.25338628526</v>
      </c>
    </row>
    <row r="53" spans="1:4" ht="15.75" customHeight="1" x14ac:dyDescent="0.25">
      <c r="B53" s="16" t="s">
        <v>126</v>
      </c>
      <c r="C53" s="76">
        <v>3.25338628526</v>
      </c>
    </row>
    <row r="54" spans="1:4" ht="15.75" customHeight="1" x14ac:dyDescent="0.25">
      <c r="B54" s="16" t="s">
        <v>127</v>
      </c>
      <c r="C54" s="76">
        <v>2.33841837465999</v>
      </c>
    </row>
    <row r="55" spans="1:4" ht="15.75" customHeight="1" x14ac:dyDescent="0.25">
      <c r="B55" s="16" t="s">
        <v>128</v>
      </c>
      <c r="C55" s="76">
        <v>2.33841837465999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2.1459227467811159E-2</v>
      </c>
    </row>
    <row r="59" spans="1:4" ht="15.75" customHeight="1" x14ac:dyDescent="0.25">
      <c r="B59" s="16" t="s">
        <v>132</v>
      </c>
      <c r="C59" s="70">
        <v>0.64232893467262842</v>
      </c>
    </row>
    <row r="63" spans="1:4" ht="15.75" customHeight="1" x14ac:dyDescent="0.3">
      <c r="A63" s="4"/>
    </row>
  </sheetData>
  <sheetProtection password="CA9F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C19" sqref="C19"/>
    </sheetView>
  </sheetViews>
  <sheetFormatPr defaultColWidth="14.453125" defaultRowHeight="15.75" customHeight="1" x14ac:dyDescent="0.25"/>
  <cols>
    <col min="1" max="1" width="8.453125" style="12" customWidth="1"/>
    <col min="2" max="9" width="16.81640625" style="12" customWidth="1"/>
    <col min="10" max="16384" width="14.453125" style="12"/>
  </cols>
  <sheetData>
    <row r="1" spans="1:9" s="21" customFormat="1" ht="30" customHeight="1" x14ac:dyDescent="0.3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2017</v>
      </c>
      <c r="B2" s="77">
        <v>7050.8518560000002</v>
      </c>
      <c r="C2" s="78">
        <v>12828</v>
      </c>
      <c r="D2" s="78">
        <v>24001</v>
      </c>
      <c r="E2" s="78">
        <v>2380419</v>
      </c>
      <c r="F2" s="78">
        <v>1934845</v>
      </c>
      <c r="G2" s="22">
        <f t="shared" ref="G2:G40" si="0">C2+D2+E2+F2</f>
        <v>4352093</v>
      </c>
      <c r="H2" s="22">
        <f t="shared" ref="H2:H40" si="1">(B2 + stillbirth*B2/(1000-stillbirth))/(1-abortion)</f>
        <v>8218.6668904671478</v>
      </c>
      <c r="I2" s="22">
        <f>G2-H2</f>
        <v>4343874.3331095325</v>
      </c>
    </row>
    <row r="3" spans="1:9" ht="15.75" customHeight="1" x14ac:dyDescent="0.25">
      <c r="A3" s="7">
        <f t="shared" ref="A3:A40" si="2">IF($A$2+ROW(A3)-2&lt;=end_year,A2+1,"")</f>
        <v>2018</v>
      </c>
      <c r="B3" s="77">
        <v>7104.4260000000004</v>
      </c>
      <c r="C3" s="78">
        <v>13000</v>
      </c>
      <c r="D3" s="78">
        <v>24000</v>
      </c>
      <c r="E3" s="78">
        <v>2426000</v>
      </c>
      <c r="F3" s="78">
        <v>1961000</v>
      </c>
      <c r="G3" s="22">
        <f t="shared" si="0"/>
        <v>4424000</v>
      </c>
      <c r="H3" s="22">
        <f t="shared" si="1"/>
        <v>8281.1143865244139</v>
      </c>
      <c r="I3" s="22">
        <f t="shared" ref="I3:I15" si="3">G3-H3</f>
        <v>4415718.8856134759</v>
      </c>
    </row>
    <row r="4" spans="1:9" ht="15.75" customHeight="1" x14ac:dyDescent="0.25">
      <c r="A4" s="7">
        <f t="shared" si="2"/>
        <v>2019</v>
      </c>
      <c r="B4" s="77">
        <v>7160.2560000000012</v>
      </c>
      <c r="C4" s="78">
        <v>13000</v>
      </c>
      <c r="D4" s="78">
        <v>25000</v>
      </c>
      <c r="E4" s="78">
        <v>2469000</v>
      </c>
      <c r="F4" s="78">
        <v>1991000</v>
      </c>
      <c r="G4" s="22">
        <f t="shared" si="0"/>
        <v>4498000</v>
      </c>
      <c r="H4" s="22">
        <f t="shared" si="1"/>
        <v>8346.1913703932951</v>
      </c>
      <c r="I4" s="22">
        <f t="shared" si="3"/>
        <v>4489653.8086296069</v>
      </c>
    </row>
    <row r="5" spans="1:9" ht="15.75" customHeight="1" x14ac:dyDescent="0.25">
      <c r="A5" s="7">
        <f t="shared" si="2"/>
        <v>2020</v>
      </c>
      <c r="B5" s="77">
        <v>7212.1139999999996</v>
      </c>
      <c r="C5" s="78">
        <v>13000</v>
      </c>
      <c r="D5" s="78">
        <v>25000</v>
      </c>
      <c r="E5" s="78">
        <v>2508000</v>
      </c>
      <c r="F5" s="78">
        <v>2025000</v>
      </c>
      <c r="G5" s="22">
        <f t="shared" si="0"/>
        <v>4571000</v>
      </c>
      <c r="H5" s="22">
        <f t="shared" si="1"/>
        <v>8406.6384817934813</v>
      </c>
      <c r="I5" s="22">
        <f t="shared" si="3"/>
        <v>4562593.3615182061</v>
      </c>
    </row>
    <row r="6" spans="1:9" ht="15.75" customHeight="1" x14ac:dyDescent="0.25">
      <c r="A6" s="7">
        <f t="shared" si="2"/>
        <v>2021</v>
      </c>
      <c r="B6" s="77">
        <v>7269</v>
      </c>
      <c r="C6" s="78">
        <v>13000</v>
      </c>
      <c r="D6" s="78">
        <v>25000</v>
      </c>
      <c r="E6" s="78">
        <v>2544000</v>
      </c>
      <c r="F6" s="78">
        <v>2063000</v>
      </c>
      <c r="G6" s="22">
        <f t="shared" si="0"/>
        <v>4645000</v>
      </c>
      <c r="H6" s="22">
        <f t="shared" si="1"/>
        <v>8472.9463683126487</v>
      </c>
      <c r="I6" s="22">
        <f t="shared" si="3"/>
        <v>4636527.0536316875</v>
      </c>
    </row>
    <row r="7" spans="1:9" ht="15.75" customHeight="1" x14ac:dyDescent="0.25">
      <c r="A7" s="7">
        <f t="shared" si="2"/>
        <v>2022</v>
      </c>
      <c r="B7" s="77">
        <v>7322.2740000000013</v>
      </c>
      <c r="C7" s="78">
        <v>14000</v>
      </c>
      <c r="D7" s="78">
        <v>25000</v>
      </c>
      <c r="E7" s="78">
        <v>2577000</v>
      </c>
      <c r="F7" s="78">
        <v>2106000</v>
      </c>
      <c r="G7" s="22">
        <f t="shared" si="0"/>
        <v>4722000</v>
      </c>
      <c r="H7" s="22">
        <f t="shared" si="1"/>
        <v>8535.0440082666319</v>
      </c>
      <c r="I7" s="22">
        <f t="shared" si="3"/>
        <v>4713464.9559917338</v>
      </c>
    </row>
    <row r="8" spans="1:9" ht="15.75" customHeight="1" x14ac:dyDescent="0.25">
      <c r="A8" s="7">
        <f t="shared" si="2"/>
        <v>2023</v>
      </c>
      <c r="B8" s="77">
        <v>7371.9360000000006</v>
      </c>
      <c r="C8" s="78">
        <v>15000</v>
      </c>
      <c r="D8" s="78">
        <v>25000</v>
      </c>
      <c r="E8" s="78">
        <v>2605000</v>
      </c>
      <c r="F8" s="78">
        <v>2151000</v>
      </c>
      <c r="G8" s="22">
        <f t="shared" si="0"/>
        <v>4796000</v>
      </c>
      <c r="H8" s="22">
        <f t="shared" si="1"/>
        <v>8592.9314016554235</v>
      </c>
      <c r="I8" s="22">
        <f t="shared" si="3"/>
        <v>4787407.0685983449</v>
      </c>
    </row>
    <row r="9" spans="1:9" ht="15.75" customHeight="1" x14ac:dyDescent="0.25">
      <c r="A9" s="7">
        <f t="shared" si="2"/>
        <v>2024</v>
      </c>
      <c r="B9" s="77">
        <v>7417.9860000000017</v>
      </c>
      <c r="C9" s="78">
        <v>15000</v>
      </c>
      <c r="D9" s="78">
        <v>26000</v>
      </c>
      <c r="E9" s="78">
        <v>2627000</v>
      </c>
      <c r="F9" s="78">
        <v>2198000</v>
      </c>
      <c r="G9" s="22">
        <f t="shared" si="0"/>
        <v>4866000</v>
      </c>
      <c r="H9" s="22">
        <f t="shared" si="1"/>
        <v>8646.6085484790328</v>
      </c>
      <c r="I9" s="22">
        <f t="shared" si="3"/>
        <v>4857353.3914515208</v>
      </c>
    </row>
    <row r="10" spans="1:9" ht="15.75" customHeight="1" x14ac:dyDescent="0.25">
      <c r="A10" s="7">
        <f t="shared" si="2"/>
        <v>2025</v>
      </c>
      <c r="B10" s="77">
        <v>7460.424</v>
      </c>
      <c r="C10" s="78">
        <v>15000</v>
      </c>
      <c r="D10" s="78">
        <v>26000</v>
      </c>
      <c r="E10" s="78">
        <v>2643000</v>
      </c>
      <c r="F10" s="78">
        <v>2244000</v>
      </c>
      <c r="G10" s="22">
        <f t="shared" si="0"/>
        <v>4928000</v>
      </c>
      <c r="H10" s="22">
        <f t="shared" si="1"/>
        <v>8696.0754487374506</v>
      </c>
      <c r="I10" s="22">
        <f t="shared" si="3"/>
        <v>4919303.9245512625</v>
      </c>
    </row>
    <row r="11" spans="1:9" ht="15.75" customHeight="1" x14ac:dyDescent="0.25">
      <c r="A11" s="7">
        <f t="shared" si="2"/>
        <v>2026</v>
      </c>
      <c r="B11" s="77">
        <v>7517.4660000000003</v>
      </c>
      <c r="C11" s="78">
        <v>16000</v>
      </c>
      <c r="D11" s="78">
        <v>27000</v>
      </c>
      <c r="E11" s="78">
        <v>2656000</v>
      </c>
      <c r="F11" s="78">
        <v>2292000</v>
      </c>
      <c r="G11" s="22">
        <f t="shared" si="0"/>
        <v>4991000</v>
      </c>
      <c r="H11" s="22">
        <f t="shared" si="1"/>
        <v>8762.5651731481394</v>
      </c>
      <c r="I11" s="22">
        <f t="shared" si="3"/>
        <v>4982237.4348268518</v>
      </c>
    </row>
    <row r="12" spans="1:9" ht="15.75" customHeight="1" x14ac:dyDescent="0.25">
      <c r="A12" s="7">
        <f t="shared" si="2"/>
        <v>2027</v>
      </c>
      <c r="B12" s="77">
        <v>7571.5584000000008</v>
      </c>
      <c r="C12" s="78">
        <v>16000</v>
      </c>
      <c r="D12" s="78">
        <v>27000</v>
      </c>
      <c r="E12" s="78">
        <v>2664000</v>
      </c>
      <c r="F12" s="78">
        <v>2340000</v>
      </c>
      <c r="G12" s="22">
        <f t="shared" si="0"/>
        <v>5047000</v>
      </c>
      <c r="H12" s="22">
        <f t="shared" si="1"/>
        <v>8825.6167626560928</v>
      </c>
      <c r="I12" s="22">
        <f t="shared" si="3"/>
        <v>5038174.3832373442</v>
      </c>
    </row>
    <row r="13" spans="1:9" ht="15.75" customHeight="1" x14ac:dyDescent="0.25">
      <c r="A13" s="7">
        <f t="shared" si="2"/>
        <v>2028</v>
      </c>
      <c r="B13" s="77">
        <v>7622.7012000000013</v>
      </c>
      <c r="C13" s="78">
        <v>16000</v>
      </c>
      <c r="D13" s="78">
        <v>28000</v>
      </c>
      <c r="E13" s="78">
        <v>2667000</v>
      </c>
      <c r="F13" s="78">
        <v>2386000</v>
      </c>
      <c r="G13" s="22">
        <f t="shared" si="0"/>
        <v>5097000</v>
      </c>
      <c r="H13" s="22">
        <f t="shared" si="1"/>
        <v>8885.2302172613126</v>
      </c>
      <c r="I13" s="22">
        <f t="shared" si="3"/>
        <v>5088114.7697827388</v>
      </c>
    </row>
    <row r="14" spans="1:9" ht="15.75" customHeight="1" x14ac:dyDescent="0.25">
      <c r="A14" s="7">
        <f t="shared" si="2"/>
        <v>2029</v>
      </c>
      <c r="B14" s="77">
        <v>7670.894400000001</v>
      </c>
      <c r="C14" s="78">
        <v>16000</v>
      </c>
      <c r="D14" s="78">
        <v>28000</v>
      </c>
      <c r="E14" s="78">
        <v>2669000</v>
      </c>
      <c r="F14" s="78">
        <v>2430000</v>
      </c>
      <c r="G14" s="22">
        <f t="shared" si="0"/>
        <v>5143000</v>
      </c>
      <c r="H14" s="22">
        <f t="shared" si="1"/>
        <v>8941.4055369637972</v>
      </c>
      <c r="I14" s="22">
        <f t="shared" si="3"/>
        <v>5134058.5944630364</v>
      </c>
    </row>
    <row r="15" spans="1:9" ht="15.75" customHeight="1" x14ac:dyDescent="0.25">
      <c r="A15" s="7">
        <f t="shared" si="2"/>
        <v>2030</v>
      </c>
      <c r="B15" s="77">
        <v>7716.1379999999999</v>
      </c>
      <c r="C15" s="78">
        <v>16000</v>
      </c>
      <c r="D15" s="78">
        <v>29000</v>
      </c>
      <c r="E15" s="78">
        <v>2672000</v>
      </c>
      <c r="F15" s="78">
        <v>2468000</v>
      </c>
      <c r="G15" s="22">
        <f t="shared" si="0"/>
        <v>5185000</v>
      </c>
      <c r="H15" s="22">
        <f t="shared" si="1"/>
        <v>8994.1427217635483</v>
      </c>
      <c r="I15" s="22">
        <f t="shared" si="3"/>
        <v>5176005.8572782362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>
        <v>110</v>
      </c>
      <c r="C17" s="77"/>
      <c r="D17" s="78"/>
      <c r="E17" s="78"/>
      <c r="F17" s="78"/>
      <c r="G17" s="22">
        <f t="shared" si="0"/>
        <v>0</v>
      </c>
      <c r="H17" s="22">
        <f t="shared" si="1"/>
        <v>128.21902607159052</v>
      </c>
      <c r="I17" s="22">
        <f t="shared" si="4"/>
        <v>-128.21902607159052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14" sqref="C14"/>
    </sheetView>
  </sheetViews>
  <sheetFormatPr defaultColWidth="14.453125" defaultRowHeight="15.75" customHeight="1" x14ac:dyDescent="0.25"/>
  <cols>
    <col min="1" max="1" width="16.1796875" customWidth="1"/>
    <col min="2" max="2" width="31.26953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27.75" customHeight="1" x14ac:dyDescent="0.3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1.111645E-2</v>
      </c>
    </row>
    <row r="4" spans="1:8" ht="15.75" customHeight="1" x14ac:dyDescent="0.25">
      <c r="B4" s="24" t="s">
        <v>7</v>
      </c>
      <c r="C4" s="79">
        <v>6.1500237022201601E-2</v>
      </c>
    </row>
    <row r="5" spans="1:8" ht="15.75" customHeight="1" x14ac:dyDescent="0.25">
      <c r="B5" s="24" t="s">
        <v>8</v>
      </c>
      <c r="C5" s="79">
        <v>0.11163930037726696</v>
      </c>
    </row>
    <row r="6" spans="1:8" ht="15.75" customHeight="1" x14ac:dyDescent="0.25">
      <c r="B6" s="24" t="s">
        <v>10</v>
      </c>
      <c r="C6" s="79">
        <v>0.14601193223541023</v>
      </c>
    </row>
    <row r="7" spans="1:8" ht="15.75" customHeight="1" x14ac:dyDescent="0.25">
      <c r="B7" s="24" t="s">
        <v>13</v>
      </c>
      <c r="C7" s="79">
        <v>0.30889499344127025</v>
      </c>
    </row>
    <row r="8" spans="1:8" ht="15.75" customHeight="1" x14ac:dyDescent="0.25">
      <c r="B8" s="24" t="s">
        <v>14</v>
      </c>
      <c r="C8" s="79">
        <v>2.2661554867363628E-4</v>
      </c>
    </row>
    <row r="9" spans="1:8" ht="15.75" customHeight="1" x14ac:dyDescent="0.25">
      <c r="B9" s="24" t="s">
        <v>27</v>
      </c>
      <c r="C9" s="79">
        <v>0.14138680308189999</v>
      </c>
    </row>
    <row r="10" spans="1:8" ht="15.75" customHeight="1" x14ac:dyDescent="0.25">
      <c r="B10" s="24" t="s">
        <v>15</v>
      </c>
      <c r="C10" s="79">
        <v>0.21922366829327733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3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5.2374097471842102E-2</v>
      </c>
      <c r="D14" s="79">
        <v>5.2374097471842102E-2</v>
      </c>
      <c r="E14" s="79">
        <v>9.0054936832493701E-2</v>
      </c>
      <c r="F14" s="79">
        <v>9.0054936832493701E-2</v>
      </c>
    </row>
    <row r="15" spans="1:8" ht="15.75" customHeight="1" x14ac:dyDescent="0.25">
      <c r="B15" s="24" t="s">
        <v>16</v>
      </c>
      <c r="C15" s="79">
        <v>0.297094807642236</v>
      </c>
      <c r="D15" s="79">
        <v>0.297094807642236</v>
      </c>
      <c r="E15" s="79">
        <v>0.208344761047416</v>
      </c>
      <c r="F15" s="79">
        <v>0.208344761047416</v>
      </c>
    </row>
    <row r="16" spans="1:8" ht="15.75" customHeight="1" x14ac:dyDescent="0.25">
      <c r="B16" s="24" t="s">
        <v>17</v>
      </c>
      <c r="C16" s="79">
        <v>2.9179051559671602E-2</v>
      </c>
      <c r="D16" s="79">
        <v>2.9179051559671602E-2</v>
      </c>
      <c r="E16" s="79">
        <v>2.5016943482103801E-2</v>
      </c>
      <c r="F16" s="79">
        <v>2.5016943482103801E-2</v>
      </c>
    </row>
    <row r="17" spans="1:8" ht="15.75" customHeight="1" x14ac:dyDescent="0.25">
      <c r="B17" s="24" t="s">
        <v>18</v>
      </c>
      <c r="C17" s="79">
        <v>3.32410395802079E-3</v>
      </c>
      <c r="D17" s="79">
        <v>3.32410395802079E-3</v>
      </c>
      <c r="E17" s="79">
        <v>1.31620773378909E-2</v>
      </c>
      <c r="F17" s="79">
        <v>1.31620773378909E-2</v>
      </c>
    </row>
    <row r="18" spans="1:8" ht="15.75" customHeight="1" x14ac:dyDescent="0.25">
      <c r="B18" s="24" t="s">
        <v>19</v>
      </c>
      <c r="C18" s="79">
        <v>2.4121155702255198E-5</v>
      </c>
      <c r="D18" s="79">
        <v>2.4121155702255198E-5</v>
      </c>
      <c r="E18" s="79">
        <v>4.3439146445887503E-5</v>
      </c>
      <c r="F18" s="79">
        <v>4.3439146445887503E-5</v>
      </c>
    </row>
    <row r="19" spans="1:8" ht="15.75" customHeight="1" x14ac:dyDescent="0.25">
      <c r="B19" s="24" t="s">
        <v>20</v>
      </c>
      <c r="C19" s="79">
        <v>5.5348525679979603E-2</v>
      </c>
      <c r="D19" s="79">
        <v>5.5348525679979603E-2</v>
      </c>
      <c r="E19" s="79">
        <v>9.1275833854803798E-2</v>
      </c>
      <c r="F19" s="79">
        <v>9.1275833854803798E-2</v>
      </c>
    </row>
    <row r="20" spans="1:8" ht="15.75" customHeight="1" x14ac:dyDescent="0.25">
      <c r="B20" s="24" t="s">
        <v>21</v>
      </c>
      <c r="C20" s="79">
        <v>2.64671094469507E-3</v>
      </c>
      <c r="D20" s="79">
        <v>2.64671094469507E-3</v>
      </c>
      <c r="E20" s="79">
        <v>1.4956393705387901E-2</v>
      </c>
      <c r="F20" s="79">
        <v>1.4956393705387901E-2</v>
      </c>
    </row>
    <row r="21" spans="1:8" ht="15.75" customHeight="1" x14ac:dyDescent="0.25">
      <c r="B21" s="24" t="s">
        <v>22</v>
      </c>
      <c r="C21" s="79">
        <v>5.1250233276740408E-2</v>
      </c>
      <c r="D21" s="79">
        <v>5.1250233276740408E-2</v>
      </c>
      <c r="E21" s="79">
        <v>0.16534532793350698</v>
      </c>
      <c r="F21" s="79">
        <v>0.16534532793350698</v>
      </c>
    </row>
    <row r="22" spans="1:8" ht="15.75" customHeight="1" x14ac:dyDescent="0.25">
      <c r="B22" s="24" t="s">
        <v>23</v>
      </c>
      <c r="C22" s="79">
        <v>0.50875834831111211</v>
      </c>
      <c r="D22" s="79">
        <v>0.50875834831111211</v>
      </c>
      <c r="E22" s="79">
        <v>0.39180028665995104</v>
      </c>
      <c r="F22" s="79">
        <v>0.39180028665995104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3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4.7800000000000002E-2</v>
      </c>
    </row>
    <row r="27" spans="1:8" ht="15.75" customHeight="1" x14ac:dyDescent="0.25">
      <c r="B27" s="24" t="s">
        <v>39</v>
      </c>
      <c r="C27" s="79">
        <v>1.89E-2</v>
      </c>
    </row>
    <row r="28" spans="1:8" ht="15.75" customHeight="1" x14ac:dyDescent="0.25">
      <c r="B28" s="24" t="s">
        <v>40</v>
      </c>
      <c r="C28" s="79">
        <v>0.22750000000000001</v>
      </c>
    </row>
    <row r="29" spans="1:8" ht="15.75" customHeight="1" x14ac:dyDescent="0.25">
      <c r="B29" s="24" t="s">
        <v>41</v>
      </c>
      <c r="C29" s="79">
        <v>0.13830000000000001</v>
      </c>
    </row>
    <row r="30" spans="1:8" ht="15.75" customHeight="1" x14ac:dyDescent="0.25">
      <c r="B30" s="24" t="s">
        <v>42</v>
      </c>
      <c r="C30" s="79">
        <v>4.9699999999999994E-2</v>
      </c>
    </row>
    <row r="31" spans="1:8" ht="15.75" customHeight="1" x14ac:dyDescent="0.25">
      <c r="B31" s="24" t="s">
        <v>43</v>
      </c>
      <c r="C31" s="79">
        <v>7.0499999999999993E-2</v>
      </c>
    </row>
    <row r="32" spans="1:8" ht="15.75" customHeight="1" x14ac:dyDescent="0.25">
      <c r="B32" s="24" t="s">
        <v>44</v>
      </c>
      <c r="C32" s="79">
        <v>0.15039999999999998</v>
      </c>
    </row>
    <row r="33" spans="2:3" ht="15.75" customHeight="1" x14ac:dyDescent="0.25">
      <c r="B33" s="24" t="s">
        <v>45</v>
      </c>
      <c r="C33" s="79">
        <v>0.12279999999999999</v>
      </c>
    </row>
    <row r="34" spans="2:3" ht="15.75" customHeight="1" x14ac:dyDescent="0.25">
      <c r="B34" s="24" t="s">
        <v>46</v>
      </c>
      <c r="C34" s="79">
        <v>0.17410000000223519</v>
      </c>
    </row>
    <row r="35" spans="2:3" ht="15.75" customHeight="1" x14ac:dyDescent="0.25">
      <c r="B35" s="32" t="s">
        <v>129</v>
      </c>
      <c r="C35" s="74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F14" sqref="F14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7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0.69738699997320686</v>
      </c>
      <c r="D2" s="80">
        <v>0.69738699997320686</v>
      </c>
      <c r="E2" s="80">
        <v>0.7339789370344153</v>
      </c>
      <c r="F2" s="80">
        <v>0.41860408322750808</v>
      </c>
      <c r="G2" s="80">
        <v>0.33254276467346627</v>
      </c>
    </row>
    <row r="3" spans="1:15" ht="15.75" customHeight="1" x14ac:dyDescent="0.25">
      <c r="A3" s="5"/>
      <c r="B3" s="11" t="s">
        <v>118</v>
      </c>
      <c r="C3" s="80">
        <v>0.23113964579481822</v>
      </c>
      <c r="D3" s="80">
        <v>0.23113964579481822</v>
      </c>
      <c r="E3" s="80">
        <v>0.18226322597498903</v>
      </c>
      <c r="F3" s="80">
        <v>0.25306519576935715</v>
      </c>
      <c r="G3" s="80">
        <v>0.32684203156477826</v>
      </c>
    </row>
    <row r="4" spans="1:15" ht="15.75" customHeight="1" x14ac:dyDescent="0.25">
      <c r="A4" s="5"/>
      <c r="B4" s="11" t="s">
        <v>116</v>
      </c>
      <c r="C4" s="81">
        <v>4.6904388714733541E-2</v>
      </c>
      <c r="D4" s="81">
        <v>4.6904388714733541E-2</v>
      </c>
      <c r="E4" s="81">
        <v>4.6904388714733541E-2</v>
      </c>
      <c r="F4" s="81">
        <v>0.22893808777429464</v>
      </c>
      <c r="G4" s="81">
        <v>0.23898902821316614</v>
      </c>
    </row>
    <row r="5" spans="1:15" ht="15.75" customHeight="1" x14ac:dyDescent="0.25">
      <c r="A5" s="5"/>
      <c r="B5" s="11" t="s">
        <v>119</v>
      </c>
      <c r="C5" s="81">
        <v>2.4568965517241383E-2</v>
      </c>
      <c r="D5" s="81">
        <v>2.4568965517241383E-2</v>
      </c>
      <c r="E5" s="81">
        <v>3.6853448275862073E-2</v>
      </c>
      <c r="F5" s="81">
        <v>9.9392633228840135E-2</v>
      </c>
      <c r="G5" s="81">
        <v>0.10162617554858934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0.79852922339426136</v>
      </c>
      <c r="D8" s="80">
        <v>0.79852922339426136</v>
      </c>
      <c r="E8" s="80">
        <v>0.80617910363432832</v>
      </c>
      <c r="F8" s="80">
        <v>0.74496247162693152</v>
      </c>
      <c r="G8" s="80">
        <v>0.85099999910983271</v>
      </c>
    </row>
    <row r="9" spans="1:15" ht="15.75" customHeight="1" x14ac:dyDescent="0.25">
      <c r="B9" s="7" t="s">
        <v>121</v>
      </c>
      <c r="C9" s="80">
        <v>0.15747077560573858</v>
      </c>
      <c r="D9" s="80">
        <v>0.15747077560573858</v>
      </c>
      <c r="E9" s="80">
        <v>0.14982089536567164</v>
      </c>
      <c r="F9" s="80">
        <v>0.21103752737306847</v>
      </c>
      <c r="G9" s="80">
        <v>0.10499999989016735</v>
      </c>
    </row>
    <row r="10" spans="1:15" ht="15.75" customHeight="1" x14ac:dyDescent="0.25">
      <c r="B10" s="7" t="s">
        <v>122</v>
      </c>
      <c r="C10" s="81">
        <v>3.3000000999999994E-2</v>
      </c>
      <c r="D10" s="81">
        <v>3.3000000999999994E-2</v>
      </c>
      <c r="E10" s="81">
        <v>3.3000000999999994E-2</v>
      </c>
      <c r="F10" s="81">
        <v>3.3000000999999994E-2</v>
      </c>
      <c r="G10" s="81">
        <v>3.3000000999999994E-2</v>
      </c>
    </row>
    <row r="11" spans="1:15" ht="15.75" customHeight="1" x14ac:dyDescent="0.25">
      <c r="B11" s="7" t="s">
        <v>123</v>
      </c>
      <c r="C11" s="81">
        <v>1.1000000000000001E-2</v>
      </c>
      <c r="D11" s="81">
        <v>1.1000000000000001E-2</v>
      </c>
      <c r="E11" s="81">
        <v>1.1000000000000001E-2</v>
      </c>
      <c r="F11" s="81">
        <v>1.1000000000000001E-2</v>
      </c>
      <c r="G11" s="81">
        <v>1.1000000000000001E-2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0.53215260274999998</v>
      </c>
      <c r="D14" s="82">
        <v>0.528708013373</v>
      </c>
      <c r="E14" s="82">
        <v>0.528708013373</v>
      </c>
      <c r="F14" s="82">
        <v>0.40532314977799999</v>
      </c>
      <c r="G14" s="82">
        <v>0.40532314977799999</v>
      </c>
      <c r="H14" s="83">
        <v>0.27800000000000002</v>
      </c>
      <c r="I14" s="83">
        <v>0.27800000000000002</v>
      </c>
      <c r="J14" s="83">
        <v>0.27800000000000002</v>
      </c>
      <c r="K14" s="83">
        <v>0.27800000000000002</v>
      </c>
      <c r="L14" s="83">
        <v>0.35992085413300001</v>
      </c>
      <c r="M14" s="83">
        <v>0.34763827570950001</v>
      </c>
      <c r="N14" s="83">
        <v>0.32248012028049999</v>
      </c>
      <c r="O14" s="83">
        <v>0.35800631630750002</v>
      </c>
    </row>
    <row r="15" spans="1:15" ht="15.75" customHeight="1" x14ac:dyDescent="0.25">
      <c r="B15" s="16" t="s">
        <v>68</v>
      </c>
      <c r="C15" s="80">
        <f>iron_deficiency_anaemia*C14</f>
        <v>0.34181701440767392</v>
      </c>
      <c r="D15" s="80">
        <f t="shared" ref="D15:O15" si="0">iron_deficiency_anaemia*D14</f>
        <v>0.33960445498276087</v>
      </c>
      <c r="E15" s="80">
        <f t="shared" si="0"/>
        <v>0.33960445498276087</v>
      </c>
      <c r="F15" s="80">
        <f t="shared" si="0"/>
        <v>0.26035078699505693</v>
      </c>
      <c r="G15" s="80">
        <f t="shared" si="0"/>
        <v>0.26035078699505693</v>
      </c>
      <c r="H15" s="80">
        <f t="shared" si="0"/>
        <v>0.1785674438389907</v>
      </c>
      <c r="I15" s="80">
        <f t="shared" si="0"/>
        <v>0.1785674438389907</v>
      </c>
      <c r="J15" s="80">
        <f t="shared" si="0"/>
        <v>0.1785674438389907</v>
      </c>
      <c r="K15" s="80">
        <f t="shared" si="0"/>
        <v>0.1785674438389907</v>
      </c>
      <c r="L15" s="80">
        <f t="shared" si="0"/>
        <v>0.2311875788017124</v>
      </c>
      <c r="M15" s="80">
        <f t="shared" si="0"/>
        <v>0.22329812328791263</v>
      </c>
      <c r="N15" s="80">
        <f t="shared" si="0"/>
        <v>0.20713831211287465</v>
      </c>
      <c r="O15" s="80">
        <f t="shared" si="0"/>
        <v>0.22995781575986851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E3" sqref="E3"/>
    </sheetView>
  </sheetViews>
  <sheetFormatPr defaultColWidth="8.81640625" defaultRowHeight="12.5" x14ac:dyDescent="0.25"/>
  <cols>
    <col min="1" max="1" width="28.81640625" customWidth="1"/>
    <col min="2" max="7" width="13.453125" customWidth="1"/>
  </cols>
  <sheetData>
    <row r="1" spans="1:7" ht="40.5" customHeight="1" x14ac:dyDescent="0.3">
      <c r="A1" s="27" t="str">
        <f>"Percentage of children in each category in baseline year ("&amp;start_year&amp;")"</f>
        <v>Percentage of children in each category in baseline year (2017)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0.53400000000000003</v>
      </c>
      <c r="D2" s="81">
        <v>0.40100000000000002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3.7000000000000005E-2</v>
      </c>
      <c r="D3" s="81">
        <v>0.11699999999999999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0.31900000000000001</v>
      </c>
      <c r="D4" s="81">
        <v>0.42399999999999999</v>
      </c>
      <c r="E4" s="81">
        <v>0.89</v>
      </c>
      <c r="F4" s="81">
        <v>0.57100000000000006</v>
      </c>
      <c r="G4" s="81">
        <v>0</v>
      </c>
    </row>
    <row r="5" spans="1:7" x14ac:dyDescent="0.25">
      <c r="B5" s="43" t="s">
        <v>169</v>
      </c>
      <c r="C5" s="80">
        <f>1-SUM(C2:C4)</f>
        <v>0.10999999999999988</v>
      </c>
      <c r="D5" s="80">
        <f>1-SUM(D2:D4)</f>
        <v>5.8000000000000052E-2</v>
      </c>
      <c r="E5" s="80">
        <f>1-SUM(E2:E4)</f>
        <v>0.10999999999999999</v>
      </c>
      <c r="F5" s="80">
        <f>1-SUM(F2:F4)</f>
        <v>0.42899999999999994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zoomScale="110" zoomScaleNormal="110" workbookViewId="0">
      <selection activeCell="C4" sqref="C4"/>
    </sheetView>
  </sheetViews>
  <sheetFormatPr defaultColWidth="8.81640625" defaultRowHeight="12.5" x14ac:dyDescent="0.25"/>
  <cols>
    <col min="1" max="1" width="37" customWidth="1"/>
    <col min="2" max="2" width="29.453125" customWidth="1"/>
  </cols>
  <sheetData>
    <row r="1" spans="1:16" ht="13" x14ac:dyDescent="0.3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0.27157999999999999</v>
      </c>
      <c r="D2" s="144">
        <v>0.27068999999999999</v>
      </c>
      <c r="E2" s="144">
        <v>0.2697</v>
      </c>
      <c r="F2" s="144">
        <v>0.26877000000000001</v>
      </c>
      <c r="G2" s="144">
        <v>0.26768999999999998</v>
      </c>
      <c r="H2" s="144">
        <v>0.26661000000000001</v>
      </c>
      <c r="I2" s="144">
        <v>0.26552999999999999</v>
      </c>
      <c r="J2" s="144">
        <v>0.26455000000000001</v>
      </c>
      <c r="K2" s="144">
        <v>0.26363999999999999</v>
      </c>
      <c r="L2" s="144">
        <v>0.26283000000000001</v>
      </c>
      <c r="M2" s="144">
        <v>0.26208999999999999</v>
      </c>
      <c r="N2" s="144">
        <v>0.26136999999999999</v>
      </c>
      <c r="O2" s="144">
        <v>0.26064999999999999</v>
      </c>
      <c r="P2" s="144">
        <v>0.25990999999999997</v>
      </c>
    </row>
    <row r="3" spans="1:16" x14ac:dyDescent="0.25">
      <c r="B3" s="14"/>
      <c r="C3" s="142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</row>
    <row r="4" spans="1:16" x14ac:dyDescent="0.25">
      <c r="A4" t="s">
        <v>140</v>
      </c>
      <c r="B4" s="14" t="s">
        <v>143</v>
      </c>
      <c r="C4" s="28">
        <v>5.7140000000000003E-2</v>
      </c>
      <c r="D4" s="144">
        <v>5.6500000000000002E-2</v>
      </c>
      <c r="E4" s="144">
        <v>5.5910000000000001E-2</v>
      </c>
      <c r="F4" s="144">
        <v>5.5320000000000001E-2</v>
      </c>
      <c r="G4" s="144">
        <v>5.4789999999999998E-2</v>
      </c>
      <c r="H4" s="144">
        <v>5.4280000000000002E-2</v>
      </c>
      <c r="I4" s="144">
        <v>5.3789999999999998E-2</v>
      </c>
      <c r="J4" s="144">
        <v>5.3289999999999997E-2</v>
      </c>
      <c r="K4" s="144">
        <v>5.28E-2</v>
      </c>
      <c r="L4" s="144">
        <v>5.2309999999999995E-2</v>
      </c>
      <c r="M4" s="144">
        <v>5.1820000000000005E-2</v>
      </c>
      <c r="N4" s="144">
        <v>5.1340000000000004E-2</v>
      </c>
      <c r="O4" s="144">
        <v>5.0880000000000002E-2</v>
      </c>
      <c r="P4" s="144">
        <v>5.0439999999999999E-2</v>
      </c>
    </row>
    <row r="5" spans="1:16" x14ac:dyDescent="0.25">
      <c r="B5" s="14"/>
      <c r="C5" s="142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x14ac:dyDescent="0.25">
      <c r="A6" t="s">
        <v>141</v>
      </c>
      <c r="B6" s="14" t="s">
        <v>143</v>
      </c>
      <c r="C6" s="28">
        <f>('Nutritional status distribution'!C15+5*'Nutritional status distribution'!D15+6*'Nutritional status distribution'!E15+12*'Nutritional status distribution'!F15+36*'Nutritional status distribution'!G15)/60</f>
        <v>0.27623839658301291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</row>
    <row r="7" spans="1:16" x14ac:dyDescent="0.25">
      <c r="B7" s="14" t="s">
        <v>32</v>
      </c>
      <c r="C7" s="28">
        <f>('Nutritional status distribution'!H15 + 2*'Nutritional status distribution'!I15+2*'Nutritional status distribution'!J15+2*'Nutritional status distribution'!K15)/7</f>
        <v>0.17856744383899073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</row>
    <row r="8" spans="1:16" x14ac:dyDescent="0.25">
      <c r="B8" s="14" t="s">
        <v>144</v>
      </c>
      <c r="C8" s="28">
        <f>('Nutritional status distribution'!L15+2*'Nutritional status distribution'!M15+2*'Nutritional status distribution'!N15+2*'Nutritional status distribution'!O15)/7</f>
        <v>0.22171086873186058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</row>
    <row r="9" spans="1:16" x14ac:dyDescent="0.25">
      <c r="C9" s="142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</row>
    <row r="10" spans="1:16" x14ac:dyDescent="0.25">
      <c r="A10" t="s">
        <v>142</v>
      </c>
      <c r="B10" s="16" t="s">
        <v>147</v>
      </c>
      <c r="C10" s="28">
        <f>('Breastfeeding distribution'!C2 + 5*'Breastfeeding distribution'!D2)/6</f>
        <v>0.42316666666666664</v>
      </c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</row>
    <row r="11" spans="1:16" x14ac:dyDescent="0.25">
      <c r="B11" s="34" t="s">
        <v>146</v>
      </c>
      <c r="C11" s="28">
        <f>('Breastfeeding distribution'!E4+2*'Breastfeeding distribution'!F4)/3</f>
        <v>0.67733333333333334</v>
      </c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</row>
    <row r="12" spans="1:16" x14ac:dyDescent="0.25">
      <c r="C12" s="142"/>
    </row>
    <row r="13" spans="1:16" x14ac:dyDescent="0.25">
      <c r="A13" s="12" t="s">
        <v>74</v>
      </c>
      <c r="B13" s="34" t="s">
        <v>148</v>
      </c>
      <c r="C13" s="143">
        <v>29.347999999999999</v>
      </c>
      <c r="D13" s="143">
        <v>28.594999999999999</v>
      </c>
      <c r="E13" s="143">
        <v>27.821000000000002</v>
      </c>
      <c r="F13" s="143">
        <v>27.135999999999999</v>
      </c>
      <c r="G13" s="143">
        <v>26.47</v>
      </c>
      <c r="H13" s="143">
        <v>25.821999999999999</v>
      </c>
      <c r="I13" s="143">
        <v>25.236000000000001</v>
      </c>
      <c r="J13" s="143">
        <v>24.704000000000001</v>
      </c>
      <c r="K13" s="143">
        <v>24.16</v>
      </c>
      <c r="L13" s="143">
        <v>23.666</v>
      </c>
      <c r="M13" s="143">
        <v>23.285</v>
      </c>
      <c r="N13" s="143">
        <v>22.721</v>
      </c>
      <c r="O13" s="143">
        <v>22.359000000000002</v>
      </c>
      <c r="P13" s="143">
        <v>21.3</v>
      </c>
    </row>
    <row r="14" spans="1:16" x14ac:dyDescent="0.25">
      <c r="B14" s="16" t="s">
        <v>170</v>
      </c>
      <c r="C14" s="143">
        <f>maternal_mortality</f>
        <v>0.78</v>
      </c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</row>
  </sheetData>
  <pageMargins left="0.7" right="0.7" top="0.75" bottom="0.75" header="0.3" footer="0.3"/>
  <pageSetup paperSize="193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3" sqref="D3"/>
    </sheetView>
  </sheetViews>
  <sheetFormatPr defaultColWidth="11.453125" defaultRowHeight="12.5" x14ac:dyDescent="0.25"/>
  <cols>
    <col min="1" max="1" width="17" style="35" customWidth="1"/>
    <col min="2" max="2" width="19.1796875" style="35" customWidth="1"/>
    <col min="3" max="3" width="13.453125" style="35" customWidth="1"/>
    <col min="4" max="16384" width="11.453125" style="35"/>
  </cols>
  <sheetData>
    <row r="1" spans="1:5" ht="13" x14ac:dyDescent="0.3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ht="13" x14ac:dyDescent="0.3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/>
      <c r="D3" s="84" t="s">
        <v>194</v>
      </c>
      <c r="E3" s="61" t="str">
        <f>IF(E$7="","",E$7)</f>
        <v/>
      </c>
    </row>
    <row r="4" spans="1:5" x14ac:dyDescent="0.25">
      <c r="A4" s="47"/>
      <c r="B4" s="46" t="s">
        <v>2</v>
      </c>
      <c r="C4" s="84"/>
      <c r="D4" s="84" t="s">
        <v>194</v>
      </c>
      <c r="E4" s="61" t="str">
        <f>IF(E$7="","",E$7)</f>
        <v/>
      </c>
    </row>
    <row r="5" spans="1:5" x14ac:dyDescent="0.25">
      <c r="A5" s="47"/>
      <c r="B5" s="46" t="s">
        <v>3</v>
      </c>
      <c r="C5" s="84"/>
      <c r="D5" s="84" t="s">
        <v>194</v>
      </c>
      <c r="E5" s="61" t="str">
        <f>IF(E$7="","",E$7)</f>
        <v/>
      </c>
    </row>
    <row r="6" spans="1:5" x14ac:dyDescent="0.25">
      <c r="A6" s="47"/>
      <c r="B6" s="46" t="s">
        <v>4</v>
      </c>
      <c r="C6" s="84"/>
      <c r="D6" s="84" t="s">
        <v>194</v>
      </c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ht="13" x14ac:dyDescent="0.3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/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/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/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ht="13" x14ac:dyDescent="0.3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 t="s">
        <v>194</v>
      </c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1640625" defaultRowHeight="12.5" x14ac:dyDescent="0.25"/>
  <cols>
    <col min="1" max="1" width="15.7265625" customWidth="1"/>
    <col min="2" max="2" width="15.453125" customWidth="1"/>
    <col min="3" max="3" width="17.453125" customWidth="1"/>
    <col min="4" max="4" width="12.81640625" customWidth="1"/>
  </cols>
  <sheetData>
    <row r="1" spans="1:4" ht="13" x14ac:dyDescent="0.3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ht="13" x14ac:dyDescent="0.3">
      <c r="A2" s="65" t="s">
        <v>69</v>
      </c>
      <c r="B2" s="46" t="s">
        <v>67</v>
      </c>
      <c r="C2" s="46" t="s">
        <v>183</v>
      </c>
      <c r="D2" s="84"/>
    </row>
    <row r="3" spans="1:4" ht="13" x14ac:dyDescent="0.3">
      <c r="A3" s="65" t="s">
        <v>185</v>
      </c>
      <c r="B3" s="46" t="s">
        <v>176</v>
      </c>
      <c r="C3" s="46" t="s">
        <v>184</v>
      </c>
      <c r="D3" s="84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39"/>
  <sheetViews>
    <sheetView zoomScale="85" zoomScaleNormal="118" workbookViewId="0">
      <selection activeCell="E29" sqref="E29"/>
    </sheetView>
  </sheetViews>
  <sheetFormatPr defaultColWidth="14.453125" defaultRowHeight="15.75" customHeight="1" x14ac:dyDescent="0.25"/>
  <cols>
    <col min="1" max="1" width="20" bestFit="1" customWidth="1"/>
    <col min="2" max="2" width="45.81640625" customWidth="1"/>
    <col min="3" max="3" width="8.453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17968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1" t="s">
        <v>61</v>
      </c>
      <c r="C2" s="92">
        <v>0</v>
      </c>
      <c r="D2" s="92">
        <f>food_insecure</f>
        <v>0.127</v>
      </c>
      <c r="E2" s="92">
        <f>food_insecure</f>
        <v>0.127</v>
      </c>
      <c r="F2" s="92">
        <f>food_insecure</f>
        <v>0.127</v>
      </c>
      <c r="G2" s="92">
        <f>food_insecure</f>
        <v>0.127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0</v>
      </c>
    </row>
    <row r="3" spans="1:15" ht="15.75" customHeight="1" x14ac:dyDescent="0.25">
      <c r="B3" s="7" t="s">
        <v>149</v>
      </c>
      <c r="C3" s="92">
        <v>1</v>
      </c>
      <c r="D3" s="92">
        <v>0</v>
      </c>
      <c r="E3" s="92">
        <v>0</v>
      </c>
      <c r="F3" s="92">
        <v>0</v>
      </c>
      <c r="G3" s="92">
        <v>0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</row>
    <row r="4" spans="1:15" ht="15.75" customHeight="1" x14ac:dyDescent="0.25">
      <c r="B4" s="7" t="s">
        <v>196</v>
      </c>
      <c r="C4" s="92">
        <v>1</v>
      </c>
      <c r="D4" s="92">
        <v>0</v>
      </c>
      <c r="E4" s="92">
        <v>0</v>
      </c>
      <c r="F4" s="92">
        <v>0</v>
      </c>
      <c r="G4" s="92">
        <v>0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</row>
    <row r="5" spans="1:15" ht="15.75" customHeight="1" x14ac:dyDescent="0.25">
      <c r="B5" s="11" t="s">
        <v>136</v>
      </c>
      <c r="C5" s="92">
        <v>0</v>
      </c>
      <c r="D5" s="92">
        <v>0</v>
      </c>
      <c r="E5" s="92">
        <f>food_insecure</f>
        <v>0.127</v>
      </c>
      <c r="F5" s="92">
        <f>food_insecure</f>
        <v>0.127</v>
      </c>
      <c r="G5" s="92">
        <v>0</v>
      </c>
      <c r="H5" s="93">
        <v>0</v>
      </c>
      <c r="I5" s="93">
        <v>0</v>
      </c>
      <c r="J5" s="93">
        <v>0</v>
      </c>
      <c r="K5" s="93">
        <v>0</v>
      </c>
      <c r="L5" s="93">
        <v>0</v>
      </c>
      <c r="M5" s="93">
        <v>0</v>
      </c>
      <c r="N5" s="93">
        <v>0</v>
      </c>
      <c r="O5" s="93">
        <v>0</v>
      </c>
    </row>
    <row r="6" spans="1:15" ht="15.75" customHeight="1" x14ac:dyDescent="0.25">
      <c r="B6" s="11" t="s">
        <v>137</v>
      </c>
      <c r="C6" s="92">
        <v>0</v>
      </c>
      <c r="D6" s="92">
        <v>0</v>
      </c>
      <c r="E6" s="92">
        <f>1</f>
        <v>1</v>
      </c>
      <c r="F6" s="92">
        <f>1</f>
        <v>1</v>
      </c>
      <c r="G6" s="92">
        <f>1</f>
        <v>1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</row>
    <row r="7" spans="1:15" ht="15.75" customHeight="1" x14ac:dyDescent="0.25">
      <c r="B7" s="33" t="s">
        <v>84</v>
      </c>
      <c r="C7" s="92">
        <f>diarrhoea_1mo/26</f>
        <v>0.14701794590711539</v>
      </c>
      <c r="D7" s="92">
        <f>diarrhoea_1_5mo/26</f>
        <v>0.12513024174076923</v>
      </c>
      <c r="E7" s="92">
        <f>diarrhoea_6_11mo/26</f>
        <v>0.12513024174076923</v>
      </c>
      <c r="F7" s="92">
        <f>diarrhoea_12_23mo/26</f>
        <v>8.9939168256153459E-2</v>
      </c>
      <c r="G7" s="92">
        <f>diarrhoea_24_59mo/26</f>
        <v>8.9939168256153459E-2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</row>
    <row r="8" spans="1:15" ht="15.75" customHeight="1" x14ac:dyDescent="0.25">
      <c r="B8" s="11" t="s">
        <v>58</v>
      </c>
      <c r="C8" s="92">
        <v>0</v>
      </c>
      <c r="D8" s="92">
        <v>0</v>
      </c>
      <c r="E8" s="92">
        <f>food_insecure</f>
        <v>0.127</v>
      </c>
      <c r="F8" s="92">
        <f>food_insecure</f>
        <v>0.127</v>
      </c>
      <c r="G8" s="92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</row>
    <row r="9" spans="1:15" ht="15.75" customHeight="1" x14ac:dyDescent="0.25">
      <c r="B9" s="11" t="s">
        <v>67</v>
      </c>
      <c r="C9" s="92">
        <v>0</v>
      </c>
      <c r="D9" s="92">
        <f>IF(ISBLANK(comm_deliv), frac_children_health_facility,1)</f>
        <v>0.72099999999999997</v>
      </c>
      <c r="E9" s="92">
        <f>IF(ISBLANK(comm_deliv), frac_children_health_facility,1)</f>
        <v>0.72099999999999997</v>
      </c>
      <c r="F9" s="92">
        <f>IF(ISBLANK(comm_deliv), frac_children_health_facility,1)</f>
        <v>0.72099999999999997</v>
      </c>
      <c r="G9" s="92">
        <f>IF(ISBLANK(comm_deliv), frac_children_health_facility,1)</f>
        <v>0.72099999999999997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</row>
    <row r="10" spans="1:15" ht="15" customHeight="1" x14ac:dyDescent="0.25">
      <c r="B10" s="11" t="s">
        <v>28</v>
      </c>
      <c r="C10" s="92">
        <v>0</v>
      </c>
      <c r="D10" s="92">
        <v>0</v>
      </c>
      <c r="E10" s="92">
        <v>1</v>
      </c>
      <c r="F10" s="92">
        <v>1</v>
      </c>
      <c r="G10" s="92">
        <v>1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</row>
    <row r="11" spans="1:15" ht="15.75" customHeight="1" x14ac:dyDescent="0.25">
      <c r="B11" s="33" t="s">
        <v>85</v>
      </c>
      <c r="C11" s="92">
        <f>diarrhoea_1mo/26</f>
        <v>0.14701794590711539</v>
      </c>
      <c r="D11" s="92">
        <f>diarrhoea_1_5mo/26</f>
        <v>0.12513024174076923</v>
      </c>
      <c r="E11" s="92">
        <f>diarrhoea_6_11mo/26</f>
        <v>0.12513024174076923</v>
      </c>
      <c r="F11" s="92">
        <f>diarrhoea_12_23mo/26</f>
        <v>8.9939168256153459E-2</v>
      </c>
      <c r="G11" s="92">
        <f>diarrhoea_24_59mo/26</f>
        <v>8.9939168256153459E-2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</row>
    <row r="12" spans="1:15" ht="15.75" customHeight="1" x14ac:dyDescent="0.25">
      <c r="B12" s="11" t="s">
        <v>60</v>
      </c>
      <c r="C12" s="92">
        <v>0</v>
      </c>
      <c r="D12" s="92">
        <v>0</v>
      </c>
      <c r="E12" s="92">
        <v>1</v>
      </c>
      <c r="F12" s="92">
        <v>1</v>
      </c>
      <c r="G12" s="92">
        <v>1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</row>
    <row r="13" spans="1:15" ht="15.75" customHeight="1" x14ac:dyDescent="0.25">
      <c r="B13" s="33"/>
    </row>
    <row r="14" spans="1:15" ht="15.75" customHeight="1" x14ac:dyDescent="0.3">
      <c r="A14" s="4" t="s">
        <v>32</v>
      </c>
      <c r="B14" s="33" t="s">
        <v>29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2">
        <f>food_insecure</f>
        <v>0.127</v>
      </c>
      <c r="I14" s="92">
        <f>food_insecure</f>
        <v>0.127</v>
      </c>
      <c r="J14" s="92">
        <f>food_insecure</f>
        <v>0.127</v>
      </c>
      <c r="K14" s="92">
        <f>food_insecure</f>
        <v>0.127</v>
      </c>
      <c r="L14" s="93">
        <v>0</v>
      </c>
      <c r="M14" s="93">
        <v>0</v>
      </c>
      <c r="N14" s="93">
        <v>0</v>
      </c>
      <c r="O14" s="93">
        <v>0</v>
      </c>
    </row>
    <row r="15" spans="1:15" ht="15.75" customHeight="1" x14ac:dyDescent="0.3">
      <c r="A15" s="4"/>
      <c r="B15" s="11" t="s">
        <v>86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2">
        <v>1</v>
      </c>
      <c r="I15" s="92">
        <v>1</v>
      </c>
      <c r="J15" s="92">
        <v>1</v>
      </c>
      <c r="K15" s="92">
        <v>1</v>
      </c>
      <c r="L15" s="93">
        <v>0</v>
      </c>
      <c r="M15" s="93">
        <v>0</v>
      </c>
      <c r="N15" s="93">
        <v>0</v>
      </c>
      <c r="O15" s="93">
        <v>0</v>
      </c>
    </row>
    <row r="16" spans="1:15" ht="15.75" customHeight="1" x14ac:dyDescent="0.3">
      <c r="A16" s="4"/>
      <c r="B16" s="11" t="s">
        <v>187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2">
        <f xml:space="preserve"> 1</f>
        <v>1</v>
      </c>
      <c r="I16" s="92">
        <f xml:space="preserve"> 1</f>
        <v>1</v>
      </c>
      <c r="J16" s="92">
        <f xml:space="preserve"> 1</f>
        <v>1</v>
      </c>
      <c r="K16" s="92">
        <f xml:space="preserve"> 1</f>
        <v>1</v>
      </c>
      <c r="L16" s="93">
        <v>0</v>
      </c>
      <c r="M16" s="93">
        <v>0</v>
      </c>
      <c r="N16" s="93">
        <v>0</v>
      </c>
      <c r="O16" s="93">
        <v>0</v>
      </c>
    </row>
    <row r="17" spans="1:15" ht="15.75" customHeight="1" x14ac:dyDescent="0.3">
      <c r="A17" s="4"/>
      <c r="B17" s="11" t="s">
        <v>209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2">
        <f>frac_PW_health_facility</f>
        <v>0.51800000000000002</v>
      </c>
      <c r="I17" s="92">
        <f>frac_PW_health_facility</f>
        <v>0.51800000000000002</v>
      </c>
      <c r="J17" s="92">
        <f>frac_PW_health_facility</f>
        <v>0.51800000000000002</v>
      </c>
      <c r="K17" s="92">
        <f>frac_PW_health_facility</f>
        <v>0.51800000000000002</v>
      </c>
      <c r="L17" s="93">
        <v>0</v>
      </c>
      <c r="M17" s="93">
        <v>0</v>
      </c>
      <c r="N17" s="93">
        <v>0</v>
      </c>
      <c r="O17" s="93">
        <v>0</v>
      </c>
    </row>
    <row r="18" spans="1:15" ht="15" customHeight="1" x14ac:dyDescent="0.25">
      <c r="B18" s="33" t="s">
        <v>57</v>
      </c>
      <c r="C18" s="93">
        <v>0</v>
      </c>
      <c r="D18" s="93">
        <v>0</v>
      </c>
      <c r="E18" s="93">
        <v>0</v>
      </c>
      <c r="F18" s="93">
        <v>0</v>
      </c>
      <c r="G18" s="93">
        <v>0</v>
      </c>
      <c r="H18" s="92">
        <f>frac_malaria_risk</f>
        <v>5.0000000000000001E-3</v>
      </c>
      <c r="I18" s="92">
        <f>frac_malaria_risk</f>
        <v>5.0000000000000001E-3</v>
      </c>
      <c r="J18" s="92">
        <f>frac_malaria_risk</f>
        <v>5.0000000000000001E-3</v>
      </c>
      <c r="K18" s="92">
        <f>frac_malaria_risk</f>
        <v>5.0000000000000001E-3</v>
      </c>
      <c r="L18" s="93">
        <v>0</v>
      </c>
      <c r="M18" s="93">
        <v>0</v>
      </c>
      <c r="N18" s="93">
        <v>0</v>
      </c>
      <c r="O18" s="93">
        <v>0</v>
      </c>
    </row>
    <row r="19" spans="1:15" ht="15.75" customHeight="1" x14ac:dyDescent="0.25">
      <c r="B19" s="11" t="s">
        <v>88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2">
        <v>1</v>
      </c>
      <c r="I19" s="92">
        <v>1</v>
      </c>
      <c r="J19" s="92">
        <v>1</v>
      </c>
      <c r="K19" s="92">
        <v>1</v>
      </c>
      <c r="L19" s="93">
        <v>0</v>
      </c>
      <c r="M19" s="93">
        <v>0</v>
      </c>
      <c r="N19" s="93">
        <v>0</v>
      </c>
      <c r="O19" s="93">
        <v>0</v>
      </c>
    </row>
    <row r="20" spans="1:15" ht="15.75" customHeight="1" x14ac:dyDescent="0.25">
      <c r="B20" s="11" t="s">
        <v>87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2">
        <v>1</v>
      </c>
      <c r="I20" s="92">
        <v>1</v>
      </c>
      <c r="J20" s="92">
        <v>1</v>
      </c>
      <c r="K20" s="92">
        <v>1</v>
      </c>
      <c r="L20" s="93">
        <v>0</v>
      </c>
      <c r="M20" s="93">
        <v>0</v>
      </c>
      <c r="N20" s="93">
        <v>0</v>
      </c>
      <c r="O20" s="93">
        <v>0</v>
      </c>
    </row>
    <row r="21" spans="1:15" ht="15.75" customHeight="1" x14ac:dyDescent="0.25">
      <c r="B21" s="33" t="s">
        <v>59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2">
        <f>1</f>
        <v>1</v>
      </c>
      <c r="I21" s="92">
        <f>1</f>
        <v>1</v>
      </c>
      <c r="J21" s="92">
        <f>1</f>
        <v>1</v>
      </c>
      <c r="K21" s="92">
        <f>1</f>
        <v>1</v>
      </c>
      <c r="L21" s="93">
        <v>0</v>
      </c>
      <c r="M21" s="93">
        <v>0</v>
      </c>
      <c r="N21" s="93">
        <v>0</v>
      </c>
      <c r="O21" s="93">
        <v>0</v>
      </c>
    </row>
    <row r="22" spans="1:15" ht="15.75" customHeight="1" x14ac:dyDescent="0.25">
      <c r="B22" s="33"/>
    </row>
    <row r="23" spans="1:15" ht="15.75" customHeight="1" x14ac:dyDescent="0.3">
      <c r="A23" s="62" t="s">
        <v>37</v>
      </c>
      <c r="B23" s="63" t="s">
        <v>198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2">
        <f>famplan_unmet_need</f>
        <v>0.49299999999999999</v>
      </c>
      <c r="M23" s="92">
        <f>famplan_unmet_need</f>
        <v>0.49299999999999999</v>
      </c>
      <c r="N23" s="92">
        <f>famplan_unmet_need</f>
        <v>0.49299999999999999</v>
      </c>
      <c r="O23" s="92">
        <f>famplan_unmet_need</f>
        <v>0.49299999999999999</v>
      </c>
    </row>
    <row r="24" spans="1:15" ht="15.75" customHeight="1" x14ac:dyDescent="0.25">
      <c r="B24" s="63" t="s">
        <v>188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2">
        <f>(1-food_insecure)*(0.49)*(1-school_attendance) + food_insecure*(0.7)*(1-school_attendance)</f>
        <v>0.25229828782577524</v>
      </c>
      <c r="M24" s="92">
        <f>(1-food_insecure)*(0.49)+food_insecure*(0.7)</f>
        <v>0.51666999999999996</v>
      </c>
      <c r="N24" s="92">
        <f>(1-food_insecure)*(0.49)+food_insecure*(0.7)</f>
        <v>0.51666999999999996</v>
      </c>
      <c r="O24" s="92">
        <f>(1-food_insecure)*(0.49)+food_insecure*(0.7)</f>
        <v>0.51666999999999996</v>
      </c>
    </row>
    <row r="25" spans="1:15" ht="15.75" customHeight="1" x14ac:dyDescent="0.25">
      <c r="B25" s="63" t="s">
        <v>208</v>
      </c>
      <c r="C25" s="93">
        <v>0</v>
      </c>
      <c r="D25" s="93">
        <v>0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  <c r="K25" s="93">
        <v>0</v>
      </c>
      <c r="L25" s="92">
        <f>(1-food_insecure)*(0.21)*(1-school_attendance) + food_insecure*(0.3)*(1-school_attendance)</f>
        <v>0.10812783763961795</v>
      </c>
      <c r="M25" s="92">
        <f>(1-food_insecure)*(0.21)+food_insecure*(0.3)</f>
        <v>0.22142999999999999</v>
      </c>
      <c r="N25" s="92">
        <f>(1-food_insecure)*(0.21)+food_insecure*(0.3)</f>
        <v>0.22142999999999999</v>
      </c>
      <c r="O25" s="92">
        <f>(1-food_insecure)*(0.21)+food_insecure*(0.3)</f>
        <v>0.22142999999999999</v>
      </c>
    </row>
    <row r="26" spans="1:15" ht="15.75" customHeight="1" x14ac:dyDescent="0.25">
      <c r="B26" s="63" t="s">
        <v>189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2">
        <f>(1-food_insecure)*(0.3)*(1-school_attendance)</f>
        <v>0.12788999086761477</v>
      </c>
      <c r="M26" s="92">
        <f>(1-food_insecure)*(0.3)</f>
        <v>0.26189999999999997</v>
      </c>
      <c r="N26" s="92">
        <f>(1-food_insecure)*(0.3)</f>
        <v>0.26189999999999997</v>
      </c>
      <c r="O26" s="92">
        <f>(1-food_insecure)*(0.3)</f>
        <v>0.26189999999999997</v>
      </c>
    </row>
    <row r="27" spans="1:15" ht="15.75" customHeight="1" x14ac:dyDescent="0.25">
      <c r="B27" s="63" t="s">
        <v>190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2">
        <f>(1-food_insecure)*1*school_attendance + food_insecure*1*school_attendance</f>
        <v>0.51168388366699202</v>
      </c>
      <c r="M27" s="92">
        <v>0</v>
      </c>
      <c r="N27" s="92">
        <v>0</v>
      </c>
      <c r="O27" s="92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3">
      <c r="A29" s="4" t="s">
        <v>35</v>
      </c>
      <c r="B29" s="11" t="s">
        <v>63</v>
      </c>
      <c r="C29" s="92">
        <v>0</v>
      </c>
      <c r="D29" s="92">
        <v>0</v>
      </c>
      <c r="E29" s="92">
        <f t="shared" ref="E29:O29" si="0">frac_maize</f>
        <v>0.99</v>
      </c>
      <c r="F29" s="92">
        <f t="shared" si="0"/>
        <v>0.99</v>
      </c>
      <c r="G29" s="92">
        <f t="shared" si="0"/>
        <v>0.99</v>
      </c>
      <c r="H29" s="92">
        <f t="shared" si="0"/>
        <v>0.99</v>
      </c>
      <c r="I29" s="92">
        <f t="shared" si="0"/>
        <v>0.99</v>
      </c>
      <c r="J29" s="92">
        <f t="shared" si="0"/>
        <v>0.99</v>
      </c>
      <c r="K29" s="92">
        <f t="shared" si="0"/>
        <v>0.99</v>
      </c>
      <c r="L29" s="92">
        <f t="shared" si="0"/>
        <v>0.99</v>
      </c>
      <c r="M29" s="92">
        <f t="shared" si="0"/>
        <v>0.99</v>
      </c>
      <c r="N29" s="92">
        <f t="shared" si="0"/>
        <v>0.99</v>
      </c>
      <c r="O29" s="92">
        <f t="shared" si="0"/>
        <v>0.99</v>
      </c>
    </row>
    <row r="30" spans="1:15" ht="15.75" customHeight="1" x14ac:dyDescent="0.25">
      <c r="B30" s="11" t="s">
        <v>64</v>
      </c>
      <c r="C30" s="92">
        <v>0</v>
      </c>
      <c r="D30" s="92">
        <v>0</v>
      </c>
      <c r="E30" s="92">
        <f t="shared" ref="E30:O30" si="1">frac_rice</f>
        <v>5.0000000000000001E-3</v>
      </c>
      <c r="F30" s="92">
        <f t="shared" si="1"/>
        <v>5.0000000000000001E-3</v>
      </c>
      <c r="G30" s="92">
        <f t="shared" si="1"/>
        <v>5.0000000000000001E-3</v>
      </c>
      <c r="H30" s="92">
        <f t="shared" si="1"/>
        <v>5.0000000000000001E-3</v>
      </c>
      <c r="I30" s="92">
        <f t="shared" si="1"/>
        <v>5.0000000000000001E-3</v>
      </c>
      <c r="J30" s="92">
        <f t="shared" si="1"/>
        <v>5.0000000000000001E-3</v>
      </c>
      <c r="K30" s="92">
        <f t="shared" si="1"/>
        <v>5.0000000000000001E-3</v>
      </c>
      <c r="L30" s="92">
        <f t="shared" si="1"/>
        <v>5.0000000000000001E-3</v>
      </c>
      <c r="M30" s="92">
        <f t="shared" si="1"/>
        <v>5.0000000000000001E-3</v>
      </c>
      <c r="N30" s="92">
        <f t="shared" si="1"/>
        <v>5.0000000000000001E-3</v>
      </c>
      <c r="O30" s="92">
        <f t="shared" si="1"/>
        <v>5.0000000000000001E-3</v>
      </c>
    </row>
    <row r="31" spans="1:15" ht="15.75" customHeight="1" x14ac:dyDescent="0.25">
      <c r="B31" s="11" t="s">
        <v>62</v>
      </c>
      <c r="C31" s="92">
        <v>0</v>
      </c>
      <c r="D31" s="92">
        <v>0</v>
      </c>
      <c r="E31" s="92">
        <f>frac_wheat</f>
        <v>5.0000000000000001E-3</v>
      </c>
      <c r="F31" s="92">
        <f t="shared" ref="F31:O31" si="2">frac_wheat</f>
        <v>5.0000000000000001E-3</v>
      </c>
      <c r="G31" s="92">
        <f t="shared" si="2"/>
        <v>5.0000000000000001E-3</v>
      </c>
      <c r="H31" s="92">
        <f t="shared" si="2"/>
        <v>5.0000000000000001E-3</v>
      </c>
      <c r="I31" s="92">
        <f t="shared" si="2"/>
        <v>5.0000000000000001E-3</v>
      </c>
      <c r="J31" s="92">
        <f t="shared" si="2"/>
        <v>5.0000000000000001E-3</v>
      </c>
      <c r="K31" s="92">
        <f t="shared" si="2"/>
        <v>5.0000000000000001E-3</v>
      </c>
      <c r="L31" s="92">
        <f t="shared" si="2"/>
        <v>5.0000000000000001E-3</v>
      </c>
      <c r="M31" s="92">
        <f t="shared" si="2"/>
        <v>5.0000000000000001E-3</v>
      </c>
      <c r="N31" s="92">
        <f t="shared" si="2"/>
        <v>5.0000000000000001E-3</v>
      </c>
      <c r="O31" s="92">
        <f t="shared" si="2"/>
        <v>5.0000000000000001E-3</v>
      </c>
    </row>
    <row r="32" spans="1:15" ht="15.75" customHeight="1" x14ac:dyDescent="0.25">
      <c r="B32" s="11" t="s">
        <v>47</v>
      </c>
      <c r="C32" s="92">
        <v>0</v>
      </c>
      <c r="D32" s="92">
        <v>0</v>
      </c>
      <c r="E32" s="92">
        <v>1</v>
      </c>
      <c r="F32" s="92">
        <v>1</v>
      </c>
      <c r="G32" s="92">
        <v>1</v>
      </c>
      <c r="H32" s="92">
        <v>1</v>
      </c>
      <c r="I32" s="92">
        <v>1</v>
      </c>
      <c r="J32" s="92">
        <v>1</v>
      </c>
      <c r="K32" s="92">
        <v>1</v>
      </c>
      <c r="L32" s="92">
        <v>1</v>
      </c>
      <c r="M32" s="92">
        <v>1</v>
      </c>
      <c r="N32" s="92">
        <v>1</v>
      </c>
      <c r="O32" s="92">
        <v>1</v>
      </c>
    </row>
    <row r="33" spans="1:15" ht="15.75" customHeight="1" x14ac:dyDescent="0.25">
      <c r="B33" s="11" t="s">
        <v>34</v>
      </c>
      <c r="C33" s="92">
        <f t="shared" ref="C33:O33" si="3">frac_malaria_risk</f>
        <v>5.0000000000000001E-3</v>
      </c>
      <c r="D33" s="92">
        <f t="shared" si="3"/>
        <v>5.0000000000000001E-3</v>
      </c>
      <c r="E33" s="92">
        <f t="shared" si="3"/>
        <v>5.0000000000000001E-3</v>
      </c>
      <c r="F33" s="92">
        <f t="shared" si="3"/>
        <v>5.0000000000000001E-3</v>
      </c>
      <c r="G33" s="92">
        <f t="shared" si="3"/>
        <v>5.0000000000000001E-3</v>
      </c>
      <c r="H33" s="92">
        <f t="shared" si="3"/>
        <v>5.0000000000000001E-3</v>
      </c>
      <c r="I33" s="92">
        <f t="shared" si="3"/>
        <v>5.0000000000000001E-3</v>
      </c>
      <c r="J33" s="92">
        <f t="shared" si="3"/>
        <v>5.0000000000000001E-3</v>
      </c>
      <c r="K33" s="92">
        <f t="shared" si="3"/>
        <v>5.0000000000000001E-3</v>
      </c>
      <c r="L33" s="92">
        <f t="shared" si="3"/>
        <v>5.0000000000000001E-3</v>
      </c>
      <c r="M33" s="92">
        <f t="shared" si="3"/>
        <v>5.0000000000000001E-3</v>
      </c>
      <c r="N33" s="92">
        <f t="shared" si="3"/>
        <v>5.0000000000000001E-3</v>
      </c>
      <c r="O33" s="92">
        <f t="shared" si="3"/>
        <v>5.0000000000000001E-3</v>
      </c>
    </row>
    <row r="34" spans="1:15" ht="15.75" customHeight="1" x14ac:dyDescent="0.25">
      <c r="B34" s="33" t="s">
        <v>83</v>
      </c>
      <c r="C34" s="92">
        <v>1</v>
      </c>
      <c r="D34" s="92">
        <v>1</v>
      </c>
      <c r="E34" s="92">
        <v>1</v>
      </c>
      <c r="F34" s="92">
        <v>1</v>
      </c>
      <c r="G34" s="92">
        <v>1</v>
      </c>
      <c r="H34" s="92">
        <v>1</v>
      </c>
      <c r="I34" s="92">
        <v>1</v>
      </c>
      <c r="J34" s="92">
        <v>1</v>
      </c>
      <c r="K34" s="92">
        <v>1</v>
      </c>
      <c r="L34" s="92">
        <v>1</v>
      </c>
      <c r="M34" s="92">
        <v>1</v>
      </c>
      <c r="N34" s="92">
        <v>1</v>
      </c>
      <c r="O34" s="92">
        <v>1</v>
      </c>
    </row>
    <row r="35" spans="1:15" ht="15.75" customHeight="1" x14ac:dyDescent="0.25">
      <c r="A35" s="5"/>
      <c r="B35" s="33" t="s">
        <v>82</v>
      </c>
      <c r="C35" s="92">
        <v>1</v>
      </c>
      <c r="D35" s="92">
        <v>1</v>
      </c>
      <c r="E35" s="92">
        <v>1</v>
      </c>
      <c r="F35" s="92">
        <v>1</v>
      </c>
      <c r="G35" s="92">
        <v>1</v>
      </c>
      <c r="H35" s="92">
        <v>1</v>
      </c>
      <c r="I35" s="92">
        <v>1</v>
      </c>
      <c r="J35" s="92">
        <v>1</v>
      </c>
      <c r="K35" s="92">
        <v>1</v>
      </c>
      <c r="L35" s="92">
        <v>1</v>
      </c>
      <c r="M35" s="92">
        <v>1</v>
      </c>
      <c r="N35" s="92">
        <v>1</v>
      </c>
      <c r="O35" s="92">
        <v>1</v>
      </c>
    </row>
    <row r="36" spans="1:15" s="5" customFormat="1" ht="15.75" customHeight="1" x14ac:dyDescent="0.25">
      <c r="B36" s="33" t="s">
        <v>81</v>
      </c>
      <c r="C36" s="92">
        <v>1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  <c r="I36" s="92">
        <v>1</v>
      </c>
      <c r="J36" s="92">
        <v>1</v>
      </c>
      <c r="K36" s="92">
        <v>1</v>
      </c>
      <c r="L36" s="92">
        <v>1</v>
      </c>
      <c r="M36" s="92">
        <v>1</v>
      </c>
      <c r="N36" s="92">
        <v>1</v>
      </c>
      <c r="O36" s="92">
        <v>1</v>
      </c>
    </row>
    <row r="37" spans="1:15" s="5" customFormat="1" ht="15.75" customHeight="1" x14ac:dyDescent="0.25">
      <c r="B37" s="33" t="s">
        <v>79</v>
      </c>
      <c r="C37" s="92">
        <v>1</v>
      </c>
      <c r="D37" s="92">
        <v>1</v>
      </c>
      <c r="E37" s="92">
        <v>1</v>
      </c>
      <c r="F37" s="92">
        <v>1</v>
      </c>
      <c r="G37" s="92">
        <v>1</v>
      </c>
      <c r="H37" s="92">
        <v>1</v>
      </c>
      <c r="I37" s="92">
        <v>1</v>
      </c>
      <c r="J37" s="92">
        <v>1</v>
      </c>
      <c r="K37" s="92">
        <v>1</v>
      </c>
      <c r="L37" s="92">
        <v>1</v>
      </c>
      <c r="M37" s="92">
        <v>1</v>
      </c>
      <c r="N37" s="92">
        <v>1</v>
      </c>
      <c r="O37" s="92">
        <v>1</v>
      </c>
    </row>
    <row r="38" spans="1:15" s="5" customFormat="1" ht="15.75" customHeight="1" x14ac:dyDescent="0.25">
      <c r="B38" s="33" t="s">
        <v>80</v>
      </c>
      <c r="C38" s="92">
        <v>1</v>
      </c>
      <c r="D38" s="92">
        <v>1</v>
      </c>
      <c r="E38" s="92">
        <v>1</v>
      </c>
      <c r="F38" s="92">
        <v>1</v>
      </c>
      <c r="G38" s="92">
        <v>1</v>
      </c>
      <c r="H38" s="92">
        <v>1</v>
      </c>
      <c r="I38" s="92">
        <v>1</v>
      </c>
      <c r="J38" s="92">
        <v>1</v>
      </c>
      <c r="K38" s="92">
        <v>1</v>
      </c>
      <c r="L38" s="92">
        <v>1</v>
      </c>
      <c r="M38" s="92">
        <v>1</v>
      </c>
      <c r="N38" s="92">
        <v>1</v>
      </c>
      <c r="O38" s="92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39"/>
  <sheetViews>
    <sheetView topLeftCell="A10" workbookViewId="0">
      <selection activeCell="B10" sqref="B10"/>
    </sheetView>
  </sheetViews>
  <sheetFormatPr defaultColWidth="14.453125" defaultRowHeight="15.75" customHeight="1" x14ac:dyDescent="0.25"/>
  <cols>
    <col min="1" max="1" width="56" style="52" customWidth="1"/>
    <col min="2" max="2" width="20" style="36" customWidth="1"/>
    <col min="3" max="3" width="20.453125" style="35" customWidth="1"/>
    <col min="4" max="4" width="20.1796875" style="35" customWidth="1"/>
    <col min="5" max="5" width="32.26953125" style="35" bestFit="1" customWidth="1"/>
    <col min="6" max="16384" width="14.453125" style="35"/>
  </cols>
  <sheetData>
    <row r="1" spans="1:5" ht="26" x14ac:dyDescent="0.3">
      <c r="A1" s="54" t="s">
        <v>69</v>
      </c>
      <c r="B1" s="66" t="str">
        <f>"Baseline ("&amp;start_year&amp;") coverage"</f>
        <v>Baseline (2017)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86">
        <v>49.842921550808533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86">
        <v>39.696639812262426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86">
        <v>286.05664748322937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86">
        <v>1.309533745649694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86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86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86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86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86">
        <v>1.2961055267443238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86">
        <v>1.2961055267443238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86">
        <v>1.2961055267443238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86">
        <v>1.2961055267443238</v>
      </c>
      <c r="E13" s="86" t="s">
        <v>202</v>
      </c>
    </row>
    <row r="14" spans="1:5" ht="15.75" customHeight="1" x14ac:dyDescent="0.25">
      <c r="A14" s="11" t="s">
        <v>187</v>
      </c>
      <c r="B14" s="85">
        <v>0</v>
      </c>
      <c r="C14" s="85">
        <v>0.95</v>
      </c>
      <c r="D14" s="86">
        <v>12.828939256058341</v>
      </c>
      <c r="E14" s="86" t="s">
        <v>202</v>
      </c>
    </row>
    <row r="15" spans="1:5" ht="15.75" customHeight="1" x14ac:dyDescent="0.25">
      <c r="A15" s="11" t="s">
        <v>209</v>
      </c>
      <c r="B15" s="85">
        <v>0</v>
      </c>
      <c r="C15" s="85">
        <v>0.95</v>
      </c>
      <c r="D15" s="86">
        <v>12.828939256058341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86">
        <v>0.53570505595368945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86">
        <v>0.13690448396621577</v>
      </c>
      <c r="E17" s="86" t="s">
        <v>202</v>
      </c>
    </row>
    <row r="18" spans="1:5" ht="16" customHeight="1" x14ac:dyDescent="0.25">
      <c r="A18" s="52" t="s">
        <v>173</v>
      </c>
      <c r="B18" s="85">
        <v>0</v>
      </c>
      <c r="C18" s="85">
        <v>0.95</v>
      </c>
      <c r="D18" s="87">
        <v>6.6332602175192878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87">
        <v>6.6332602175192878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87">
        <v>6.6332602175192878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86">
        <v>11.249927252632302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86">
        <v>22.04257615659202</v>
      </c>
      <c r="E22" s="86" t="s">
        <v>202</v>
      </c>
    </row>
    <row r="23" spans="1:5" ht="15.75" customHeight="1" x14ac:dyDescent="0.25">
      <c r="A23" s="52" t="s">
        <v>34</v>
      </c>
      <c r="B23" s="85">
        <v>0.69799999999999995</v>
      </c>
      <c r="C23" s="85">
        <v>0.95</v>
      </c>
      <c r="D23" s="86">
        <v>4.1648125448902009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86">
        <v>18.385480298425986</v>
      </c>
      <c r="E24" s="86" t="s">
        <v>202</v>
      </c>
    </row>
    <row r="25" spans="1:5" ht="15.75" customHeight="1" x14ac:dyDescent="0.25">
      <c r="A25" s="52" t="s">
        <v>87</v>
      </c>
      <c r="B25" s="85">
        <v>0.11900000000000001</v>
      </c>
      <c r="C25" s="85">
        <v>0.95</v>
      </c>
      <c r="D25" s="86">
        <v>18.212135324372365</v>
      </c>
      <c r="E25" s="86" t="s">
        <v>202</v>
      </c>
    </row>
    <row r="26" spans="1:5" ht="15.75" customHeight="1" x14ac:dyDescent="0.25">
      <c r="A26" s="52" t="s">
        <v>137</v>
      </c>
      <c r="B26" s="85">
        <v>0</v>
      </c>
      <c r="C26" s="85">
        <v>0.95</v>
      </c>
      <c r="D26" s="86">
        <v>4.8066927809139317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86">
        <v>6.0662244280985815</v>
      </c>
      <c r="E27" s="86" t="s">
        <v>202</v>
      </c>
    </row>
    <row r="28" spans="1:5" ht="15.75" customHeight="1" x14ac:dyDescent="0.25">
      <c r="A28" s="52" t="s">
        <v>84</v>
      </c>
      <c r="B28" s="85">
        <v>0.47600000000000003</v>
      </c>
      <c r="C28" s="85">
        <v>0.95</v>
      </c>
      <c r="D28" s="86">
        <v>1.9299524394169845</v>
      </c>
      <c r="E28" s="86" t="s">
        <v>202</v>
      </c>
    </row>
    <row r="29" spans="1:5" ht="15.75" customHeight="1" x14ac:dyDescent="0.25">
      <c r="A29" s="52" t="s">
        <v>58</v>
      </c>
      <c r="B29" s="85">
        <v>0</v>
      </c>
      <c r="C29" s="85">
        <v>0.95</v>
      </c>
      <c r="D29" s="86">
        <v>94.963596456498976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86">
        <v>1.4494319011864591</v>
      </c>
      <c r="E30" s="86" t="s">
        <v>202</v>
      </c>
    </row>
    <row r="31" spans="1:5" ht="15.75" customHeight="1" x14ac:dyDescent="0.25">
      <c r="A31" s="52" t="s">
        <v>28</v>
      </c>
      <c r="B31" s="85">
        <v>0</v>
      </c>
      <c r="C31" s="85">
        <v>0.95</v>
      </c>
      <c r="D31" s="86">
        <v>1.1313943199069552</v>
      </c>
      <c r="E31" s="86" t="s">
        <v>202</v>
      </c>
    </row>
    <row r="32" spans="1:5" ht="15.75" customHeight="1" x14ac:dyDescent="0.25">
      <c r="A32" s="52" t="s">
        <v>83</v>
      </c>
      <c r="B32" s="85">
        <v>0.17</v>
      </c>
      <c r="C32" s="85">
        <v>0.95</v>
      </c>
      <c r="D32" s="86">
        <v>1</v>
      </c>
      <c r="E32" s="86" t="s">
        <v>202</v>
      </c>
    </row>
    <row r="33" spans="1:6" ht="15.75" customHeight="1" x14ac:dyDescent="0.25">
      <c r="A33" s="52" t="s">
        <v>82</v>
      </c>
      <c r="B33" s="85">
        <v>0.627</v>
      </c>
      <c r="C33" s="85">
        <v>0.95</v>
      </c>
      <c r="D33" s="86">
        <v>2.8</v>
      </c>
      <c r="E33" s="86" t="s">
        <v>202</v>
      </c>
    </row>
    <row r="34" spans="1:6" ht="15.75" customHeight="1" x14ac:dyDescent="0.25">
      <c r="A34" s="52" t="s">
        <v>81</v>
      </c>
      <c r="B34" s="85">
        <v>0.57899999999999996</v>
      </c>
      <c r="C34" s="85">
        <v>0.95</v>
      </c>
      <c r="D34" s="86">
        <v>50.26</v>
      </c>
      <c r="E34" s="86" t="s">
        <v>202</v>
      </c>
    </row>
    <row r="35" spans="1:6" ht="15.75" customHeight="1" x14ac:dyDescent="0.25">
      <c r="A35" s="52" t="s">
        <v>79</v>
      </c>
      <c r="B35" s="85">
        <v>0.94499999999999995</v>
      </c>
      <c r="C35" s="85">
        <v>0.95</v>
      </c>
      <c r="D35" s="86">
        <v>36.1</v>
      </c>
      <c r="E35" s="86" t="s">
        <v>202</v>
      </c>
    </row>
    <row r="36" spans="1:6" s="36" customFormat="1" ht="15.75" customHeight="1" x14ac:dyDescent="0.25">
      <c r="A36" s="52" t="s">
        <v>80</v>
      </c>
      <c r="B36" s="85">
        <v>0.34700000000000003</v>
      </c>
      <c r="C36" s="85">
        <v>0.95</v>
      </c>
      <c r="D36" s="86">
        <v>231.85</v>
      </c>
      <c r="E36" s="86" t="s">
        <v>202</v>
      </c>
      <c r="F36" s="35"/>
    </row>
    <row r="37" spans="1:6" ht="15.75" customHeight="1" x14ac:dyDescent="0.25">
      <c r="A37" s="52" t="s">
        <v>85</v>
      </c>
      <c r="B37" s="85">
        <v>0.01</v>
      </c>
      <c r="C37" s="85">
        <v>0.95</v>
      </c>
      <c r="D37" s="86">
        <v>4.7753309402954516</v>
      </c>
      <c r="E37" s="86" t="s">
        <v>202</v>
      </c>
    </row>
    <row r="38" spans="1:6" ht="15.75" customHeight="1" x14ac:dyDescent="0.25">
      <c r="A38" s="52" t="s">
        <v>60</v>
      </c>
      <c r="B38" s="85">
        <v>0</v>
      </c>
      <c r="C38" s="85">
        <v>0.95</v>
      </c>
      <c r="D38" s="86">
        <v>1.1525165260213945</v>
      </c>
      <c r="E38" s="86" t="s">
        <v>202</v>
      </c>
    </row>
    <row r="39" spans="1:6" ht="15.75" customHeight="1" x14ac:dyDescent="0.25">
      <c r="F39" s="36"/>
    </row>
  </sheetData>
  <sheetProtection algorithmName="SHA-512" hashValue="zGqGWUHks9r73YYvhtsA/6n2sxkq6NyOLMnszdwkuYHRGc3RAKyH9yLxkOwoypM6IGMaCGHxxq0vP7rXnZY93w==" saltValue="sA5n05NYbI4nfIN6wumz0A==" spinCount="100000" sheet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81640625" defaultRowHeight="15.5" x14ac:dyDescent="0.35"/>
  <cols>
    <col min="1" max="1" width="18.7265625" style="55" customWidth="1"/>
    <col min="2" max="16384" width="10.81640625" style="55"/>
  </cols>
  <sheetData>
    <row r="1" spans="1:5" ht="52.5" x14ac:dyDescent="0.35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5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5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5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5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5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5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tabSelected="1" workbookViewId="0">
      <selection activeCell="B6" sqref="B6"/>
    </sheetView>
  </sheetViews>
  <sheetFormatPr defaultColWidth="11.453125" defaultRowHeight="12.5" x14ac:dyDescent="0.25"/>
  <cols>
    <col min="1" max="1" width="53" style="52" bestFit="1" customWidth="1"/>
    <col min="2" max="2" width="47.81640625" style="35" customWidth="1"/>
    <col min="3" max="3" width="42.453125" style="35" customWidth="1"/>
    <col min="4" max="16384" width="11.453125" style="35"/>
  </cols>
  <sheetData>
    <row r="1" spans="1:3" ht="13" x14ac:dyDescent="0.3">
      <c r="A1" s="40" t="s">
        <v>69</v>
      </c>
      <c r="B1" s="40" t="s">
        <v>180</v>
      </c>
      <c r="C1" s="40" t="s">
        <v>179</v>
      </c>
    </row>
    <row r="2" spans="1:3" x14ac:dyDescent="0.25">
      <c r="A2" s="88" t="s">
        <v>187</v>
      </c>
      <c r="B2" s="84" t="s">
        <v>59</v>
      </c>
      <c r="C2" s="84"/>
    </row>
    <row r="3" spans="1:3" x14ac:dyDescent="0.25">
      <c r="A3" s="88" t="s">
        <v>209</v>
      </c>
      <c r="B3" s="84" t="s">
        <v>59</v>
      </c>
      <c r="C3" s="84"/>
    </row>
    <row r="4" spans="1:3" x14ac:dyDescent="0.25">
      <c r="A4" s="89" t="s">
        <v>137</v>
      </c>
      <c r="B4" s="84" t="s">
        <v>136</v>
      </c>
      <c r="C4" s="84"/>
    </row>
    <row r="5" spans="1:3" x14ac:dyDescent="0.25">
      <c r="A5" s="89"/>
      <c r="B5" s="90"/>
      <c r="C5" s="90"/>
    </row>
    <row r="6" spans="1:3" x14ac:dyDescent="0.25">
      <c r="A6" s="89"/>
      <c r="B6" s="90"/>
      <c r="C6" s="90"/>
    </row>
    <row r="7" spans="1:3" x14ac:dyDescent="0.25">
      <c r="A7" s="89"/>
      <c r="B7" s="90"/>
      <c r="C7" s="90"/>
    </row>
    <row r="8" spans="1:3" x14ac:dyDescent="0.25">
      <c r="A8" s="89"/>
      <c r="B8" s="90"/>
      <c r="C8" s="90"/>
    </row>
    <row r="9" spans="1:3" x14ac:dyDescent="0.25">
      <c r="A9" s="89"/>
      <c r="B9" s="90"/>
      <c r="C9" s="90"/>
    </row>
    <row r="10" spans="1:3" x14ac:dyDescent="0.25">
      <c r="A10" s="89"/>
      <c r="B10" s="90"/>
      <c r="C10" s="90"/>
    </row>
    <row r="11" spans="1:3" x14ac:dyDescent="0.25">
      <c r="A11" s="91"/>
      <c r="B11" s="90"/>
      <c r="C11" s="90"/>
    </row>
    <row r="12" spans="1:3" x14ac:dyDescent="0.25">
      <c r="A12" s="91"/>
      <c r="B12" s="90"/>
      <c r="C12" s="90"/>
    </row>
    <row r="13" spans="1:3" x14ac:dyDescent="0.25">
      <c r="A13" s="91"/>
      <c r="B13" s="90"/>
      <c r="C13" s="90"/>
    </row>
    <row r="14" spans="1:3" x14ac:dyDescent="0.25">
      <c r="A14" s="91"/>
      <c r="B14" s="90"/>
      <c r="C14" s="90"/>
    </row>
    <row r="15" spans="1:3" x14ac:dyDescent="0.25">
      <c r="A15" s="91"/>
      <c r="B15" s="90"/>
      <c r="C15" s="90"/>
    </row>
    <row r="16" spans="1:3" x14ac:dyDescent="0.25">
      <c r="A16" s="91"/>
      <c r="B16" s="90"/>
      <c r="C16" s="90"/>
    </row>
    <row r="17" spans="1:3" x14ac:dyDescent="0.25">
      <c r="A17" s="91"/>
      <c r="B17" s="90"/>
      <c r="C17" s="90"/>
    </row>
    <row r="18" spans="1:3" x14ac:dyDescent="0.25">
      <c r="A18" s="91"/>
      <c r="B18" s="90"/>
      <c r="C18" s="90"/>
    </row>
    <row r="19" spans="1:3" x14ac:dyDescent="0.25">
      <c r="A19" s="89"/>
      <c r="B19" s="90"/>
      <c r="C19" s="90"/>
    </row>
    <row r="20" spans="1:3" x14ac:dyDescent="0.25">
      <c r="A20" s="89"/>
      <c r="B20" s="90"/>
      <c r="C20" s="90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G22" sqref="G22"/>
    </sheetView>
  </sheetViews>
  <sheetFormatPr defaultColWidth="11.453125" defaultRowHeight="12.5" x14ac:dyDescent="0.25"/>
  <cols>
    <col min="1" max="1" width="30.1796875" style="35" customWidth="1"/>
    <col min="2" max="16384" width="11.453125" style="35"/>
  </cols>
  <sheetData>
    <row r="1" spans="1:1" ht="13" x14ac:dyDescent="0.3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3.8224665935850002</v>
      </c>
      <c r="C2" s="26">
        <f>'Baseline year population inputs'!C52</f>
        <v>3.25338628526</v>
      </c>
      <c r="D2" s="26">
        <f>'Baseline year population inputs'!C53</f>
        <v>3.25338628526</v>
      </c>
      <c r="E2" s="26">
        <f>'Baseline year population inputs'!C54</f>
        <v>2.33841837465999</v>
      </c>
      <c r="F2" s="26">
        <f>'Baseline year population inputs'!C55</f>
        <v>2.33841837465999</v>
      </c>
    </row>
    <row r="3" spans="1:6" ht="15.75" customHeight="1" x14ac:dyDescent="0.25">
      <c r="A3" s="3" t="s">
        <v>65</v>
      </c>
      <c r="B3" s="26">
        <f>frac_mam_1month * 2.6</f>
        <v>8.5800002599999994E-2</v>
      </c>
      <c r="C3" s="26">
        <f>frac_mam_1_5months * 2.6</f>
        <v>8.5800002599999994E-2</v>
      </c>
      <c r="D3" s="26">
        <f>frac_mam_6_11months * 2.6</f>
        <v>8.5800002599999994E-2</v>
      </c>
      <c r="E3" s="26">
        <f>frac_mam_12_23months * 2.6</f>
        <v>8.5800002599999994E-2</v>
      </c>
      <c r="F3" s="26">
        <f>frac_mam_24_59months * 2.6</f>
        <v>8.5800002599999994E-2</v>
      </c>
    </row>
    <row r="4" spans="1:6" ht="15.75" customHeight="1" x14ac:dyDescent="0.25">
      <c r="A4" s="3" t="s">
        <v>66</v>
      </c>
      <c r="B4" s="26">
        <f>frac_sam_1month * 2.6</f>
        <v>2.8600000000000004E-2</v>
      </c>
      <c r="C4" s="26">
        <f>frac_sam_1_5months * 2.6</f>
        <v>2.8600000000000004E-2</v>
      </c>
      <c r="D4" s="26">
        <f>frac_sam_6_11months * 2.6</f>
        <v>2.8600000000000004E-2</v>
      </c>
      <c r="E4" s="26">
        <f>frac_sam_12_23months * 2.6</f>
        <v>2.8600000000000004E-2</v>
      </c>
      <c r="F4" s="26">
        <f>frac_sam_24_59months * 2.6</f>
        <v>2.8600000000000004E-2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53125" defaultRowHeight="12.5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53125" defaultRowHeight="12.5" x14ac:dyDescent="0.25"/>
  <cols>
    <col min="1" max="1" width="33.7265625" style="35" customWidth="1"/>
    <col min="2" max="2" width="12.453125" style="35" customWidth="1"/>
    <col min="3" max="4" width="11.453125" style="35"/>
    <col min="5" max="5" width="17.453125" style="35" customWidth="1"/>
    <col min="6" max="16384" width="11.453125" style="35"/>
  </cols>
  <sheetData>
    <row r="1" spans="1:5" ht="13" x14ac:dyDescent="0.3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4" x14ac:dyDescent="0.3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3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3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3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3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3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3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3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3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1"/>
  <sheetViews>
    <sheetView zoomScale="50" zoomScaleNormal="50" workbookViewId="0">
      <selection activeCell="J39" sqref="J39"/>
    </sheetView>
  </sheetViews>
  <sheetFormatPr defaultColWidth="16.1796875" defaultRowHeight="15.75" customHeight="1" x14ac:dyDescent="0.35"/>
  <cols>
    <col min="1" max="1" width="22.26953125" style="57" bestFit="1" customWidth="1"/>
    <col min="2" max="2" width="58.81640625" style="57" bestFit="1" customWidth="1"/>
    <col min="3" max="3" width="9.453125" style="57" bestFit="1" customWidth="1"/>
    <col min="4" max="4" width="11.1796875" style="57" bestFit="1" customWidth="1"/>
    <col min="5" max="5" width="12" style="57" bestFit="1" customWidth="1"/>
    <col min="6" max="7" width="13.1796875" style="57" bestFit="1" customWidth="1"/>
    <col min="8" max="11" width="15.26953125" style="57" bestFit="1" customWidth="1"/>
    <col min="12" max="15" width="16.81640625" style="57" bestFit="1" customWidth="1"/>
    <col min="16" max="16384" width="16.1796875" style="57"/>
  </cols>
  <sheetData>
    <row r="1" spans="1:15" ht="15.75" customHeight="1" x14ac:dyDescent="0.35">
      <c r="A1" s="59" t="s">
        <v>33</v>
      </c>
      <c r="B1" s="94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5">
      <c r="A2" s="59" t="s">
        <v>31</v>
      </c>
      <c r="B2" s="52" t="s">
        <v>61</v>
      </c>
      <c r="C2" s="138">
        <v>0</v>
      </c>
      <c r="D2" s="138">
        <v>1</v>
      </c>
      <c r="E2" s="138">
        <v>1</v>
      </c>
      <c r="F2" s="138">
        <v>1</v>
      </c>
      <c r="G2" s="138">
        <v>1</v>
      </c>
      <c r="H2" s="138">
        <v>0</v>
      </c>
      <c r="I2" s="138">
        <v>0</v>
      </c>
      <c r="J2" s="138">
        <v>0</v>
      </c>
      <c r="K2" s="138">
        <v>0</v>
      </c>
      <c r="L2" s="138">
        <v>0</v>
      </c>
      <c r="M2" s="138">
        <v>0</v>
      </c>
      <c r="N2" s="138">
        <v>0</v>
      </c>
      <c r="O2" s="138">
        <v>0</v>
      </c>
    </row>
    <row r="3" spans="1:15" ht="15.75" customHeight="1" x14ac:dyDescent="0.35">
      <c r="B3" s="52" t="s">
        <v>149</v>
      </c>
      <c r="C3" s="138">
        <v>1</v>
      </c>
      <c r="D3" s="138">
        <v>1</v>
      </c>
      <c r="E3" s="138">
        <v>0</v>
      </c>
      <c r="F3" s="138">
        <v>0</v>
      </c>
      <c r="G3" s="138">
        <v>0</v>
      </c>
      <c r="H3" s="138">
        <v>0</v>
      </c>
      <c r="I3" s="138">
        <v>0</v>
      </c>
      <c r="J3" s="138">
        <v>0</v>
      </c>
      <c r="K3" s="138">
        <v>0</v>
      </c>
      <c r="L3" s="138">
        <v>0</v>
      </c>
      <c r="M3" s="138">
        <v>0</v>
      </c>
      <c r="N3" s="138">
        <v>0</v>
      </c>
      <c r="O3" s="138">
        <v>0</v>
      </c>
    </row>
    <row r="4" spans="1:15" ht="15.75" customHeight="1" x14ac:dyDescent="0.35">
      <c r="B4" s="52" t="s">
        <v>173</v>
      </c>
      <c r="C4" s="138">
        <v>1</v>
      </c>
      <c r="D4" s="138">
        <v>1</v>
      </c>
      <c r="E4" s="138">
        <v>1</v>
      </c>
      <c r="F4" s="138">
        <v>1</v>
      </c>
      <c r="G4" s="138">
        <v>1</v>
      </c>
      <c r="H4" s="138">
        <v>0</v>
      </c>
      <c r="I4" s="138">
        <v>0</v>
      </c>
      <c r="J4" s="138">
        <v>0</v>
      </c>
      <c r="K4" s="138">
        <v>0</v>
      </c>
      <c r="L4" s="138">
        <v>0</v>
      </c>
      <c r="M4" s="138">
        <v>0</v>
      </c>
      <c r="N4" s="138">
        <v>0</v>
      </c>
      <c r="O4" s="138">
        <v>0</v>
      </c>
    </row>
    <row r="5" spans="1:15" ht="15.75" customHeight="1" x14ac:dyDescent="0.35">
      <c r="B5" s="52" t="s">
        <v>199</v>
      </c>
      <c r="C5" s="138">
        <v>1</v>
      </c>
      <c r="D5" s="138">
        <v>1</v>
      </c>
      <c r="E5" s="138">
        <v>1</v>
      </c>
      <c r="F5" s="138">
        <v>1</v>
      </c>
      <c r="G5" s="138">
        <v>1</v>
      </c>
      <c r="H5" s="138">
        <v>0</v>
      </c>
      <c r="I5" s="138">
        <v>0</v>
      </c>
      <c r="J5" s="138">
        <v>0</v>
      </c>
      <c r="K5" s="138">
        <v>0</v>
      </c>
      <c r="L5" s="138">
        <v>0</v>
      </c>
      <c r="M5" s="138">
        <v>0</v>
      </c>
      <c r="N5" s="138">
        <v>0</v>
      </c>
      <c r="O5" s="138">
        <v>0</v>
      </c>
    </row>
    <row r="6" spans="1:15" ht="15.75" customHeight="1" x14ac:dyDescent="0.35">
      <c r="B6" s="52" t="s">
        <v>200</v>
      </c>
      <c r="C6" s="138">
        <v>1</v>
      </c>
      <c r="D6" s="138">
        <v>1</v>
      </c>
      <c r="E6" s="138">
        <v>1</v>
      </c>
      <c r="F6" s="138">
        <v>1</v>
      </c>
      <c r="G6" s="138">
        <v>1</v>
      </c>
      <c r="H6" s="138">
        <v>0</v>
      </c>
      <c r="I6" s="138">
        <v>0</v>
      </c>
      <c r="J6" s="138">
        <v>0</v>
      </c>
      <c r="K6" s="138">
        <v>0</v>
      </c>
      <c r="L6" s="138">
        <v>0</v>
      </c>
      <c r="M6" s="138">
        <v>0</v>
      </c>
      <c r="N6" s="138">
        <v>0</v>
      </c>
      <c r="O6" s="138">
        <v>0</v>
      </c>
    </row>
    <row r="7" spans="1:15" ht="15.75" customHeight="1" x14ac:dyDescent="0.35">
      <c r="B7" s="52" t="s">
        <v>196</v>
      </c>
      <c r="C7" s="138">
        <v>1</v>
      </c>
      <c r="D7" s="138">
        <v>1</v>
      </c>
      <c r="E7" s="138">
        <v>0</v>
      </c>
      <c r="F7" s="138">
        <v>0</v>
      </c>
      <c r="G7" s="138">
        <v>0</v>
      </c>
      <c r="H7" s="138">
        <v>0</v>
      </c>
      <c r="I7" s="138">
        <v>0</v>
      </c>
      <c r="J7" s="138">
        <v>0</v>
      </c>
      <c r="K7" s="138">
        <v>0</v>
      </c>
      <c r="L7" s="138">
        <v>0</v>
      </c>
      <c r="M7" s="138">
        <v>0</v>
      </c>
      <c r="N7" s="138">
        <v>0</v>
      </c>
      <c r="O7" s="138">
        <v>0</v>
      </c>
    </row>
    <row r="8" spans="1:15" ht="15.75" customHeight="1" x14ac:dyDescent="0.35">
      <c r="B8" s="52" t="s">
        <v>136</v>
      </c>
      <c r="C8" s="138">
        <v>0</v>
      </c>
      <c r="D8" s="138">
        <v>0</v>
      </c>
      <c r="E8" s="138">
        <v>1</v>
      </c>
      <c r="F8" s="138">
        <v>1</v>
      </c>
      <c r="G8" s="138">
        <v>0</v>
      </c>
      <c r="H8" s="138">
        <v>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</row>
    <row r="9" spans="1:15" ht="15.75" customHeight="1" x14ac:dyDescent="0.35">
      <c r="B9" s="52" t="s">
        <v>137</v>
      </c>
      <c r="C9" s="138">
        <v>0</v>
      </c>
      <c r="D9" s="138">
        <v>0</v>
      </c>
      <c r="E9" s="138">
        <v>1</v>
      </c>
      <c r="F9" s="138">
        <v>1</v>
      </c>
      <c r="G9" s="138">
        <v>1</v>
      </c>
      <c r="H9" s="138">
        <v>0</v>
      </c>
      <c r="I9" s="138">
        <v>0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</row>
    <row r="10" spans="1:15" ht="15.75" customHeight="1" x14ac:dyDescent="0.35">
      <c r="B10" s="52" t="s">
        <v>84</v>
      </c>
      <c r="C10" s="138">
        <v>1</v>
      </c>
      <c r="D10" s="138">
        <v>1</v>
      </c>
      <c r="E10" s="138">
        <v>1</v>
      </c>
      <c r="F10" s="138">
        <v>1</v>
      </c>
      <c r="G10" s="138">
        <v>1</v>
      </c>
      <c r="H10" s="138">
        <v>0</v>
      </c>
      <c r="I10" s="138">
        <v>0</v>
      </c>
      <c r="J10" s="138">
        <v>0</v>
      </c>
      <c r="K10" s="138">
        <v>0</v>
      </c>
      <c r="L10" s="138">
        <v>0</v>
      </c>
      <c r="M10" s="138">
        <v>0</v>
      </c>
      <c r="N10" s="138">
        <v>0</v>
      </c>
      <c r="O10" s="138">
        <v>0</v>
      </c>
    </row>
    <row r="11" spans="1:15" ht="15.75" customHeight="1" x14ac:dyDescent="0.35">
      <c r="B11" s="52" t="s">
        <v>58</v>
      </c>
      <c r="C11" s="138">
        <v>0</v>
      </c>
      <c r="D11" s="138">
        <v>0</v>
      </c>
      <c r="E11" s="138">
        <v>1</v>
      </c>
      <c r="F11" s="138">
        <v>1</v>
      </c>
      <c r="G11" s="138">
        <v>0</v>
      </c>
      <c r="H11" s="138">
        <v>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</row>
    <row r="12" spans="1:15" ht="15.75" customHeight="1" x14ac:dyDescent="0.35">
      <c r="B12" s="52" t="s">
        <v>67</v>
      </c>
      <c r="C12" s="138">
        <v>0</v>
      </c>
      <c r="D12" s="138">
        <v>1</v>
      </c>
      <c r="E12" s="138">
        <v>1</v>
      </c>
      <c r="F12" s="138">
        <v>1</v>
      </c>
      <c r="G12" s="138">
        <v>1</v>
      </c>
      <c r="H12" s="138">
        <v>0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</row>
    <row r="13" spans="1:15" ht="15.75" customHeight="1" x14ac:dyDescent="0.35">
      <c r="B13" s="52" t="s">
        <v>28</v>
      </c>
      <c r="C13" s="138">
        <v>0</v>
      </c>
      <c r="D13" s="138">
        <v>0</v>
      </c>
      <c r="E13" s="138">
        <v>1</v>
      </c>
      <c r="F13" s="138">
        <v>1</v>
      </c>
      <c r="G13" s="138">
        <v>1</v>
      </c>
      <c r="H13" s="138">
        <v>0</v>
      </c>
      <c r="I13" s="138">
        <v>0</v>
      </c>
      <c r="J13" s="138">
        <v>0</v>
      </c>
      <c r="K13" s="138">
        <v>0</v>
      </c>
      <c r="L13" s="138">
        <v>0</v>
      </c>
      <c r="M13" s="138">
        <v>0</v>
      </c>
      <c r="N13" s="138">
        <v>0</v>
      </c>
      <c r="O13" s="138">
        <v>0</v>
      </c>
    </row>
    <row r="14" spans="1:15" ht="15.75" customHeight="1" x14ac:dyDescent="0.35">
      <c r="B14" s="52" t="s">
        <v>85</v>
      </c>
      <c r="C14" s="138">
        <v>1</v>
      </c>
      <c r="D14" s="138">
        <v>1</v>
      </c>
      <c r="E14" s="138">
        <v>1</v>
      </c>
      <c r="F14" s="138">
        <v>1</v>
      </c>
      <c r="G14" s="138">
        <v>1</v>
      </c>
      <c r="H14" s="138">
        <v>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</row>
    <row r="15" spans="1:15" ht="15.75" customHeight="1" x14ac:dyDescent="0.35">
      <c r="B15" s="52" t="s">
        <v>60</v>
      </c>
      <c r="C15" s="138">
        <v>0</v>
      </c>
      <c r="D15" s="138">
        <v>0</v>
      </c>
      <c r="E15" s="138">
        <v>1</v>
      </c>
      <c r="F15" s="138">
        <v>1</v>
      </c>
      <c r="G15" s="138">
        <v>1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</row>
    <row r="16" spans="1:15" ht="15.75" customHeight="1" x14ac:dyDescent="0.35">
      <c r="B16" s="52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</row>
    <row r="17" spans="1:16" ht="15.75" customHeight="1" x14ac:dyDescent="0.35">
      <c r="A17" s="59" t="s">
        <v>32</v>
      </c>
      <c r="B17" s="52" t="s">
        <v>29</v>
      </c>
      <c r="C17" s="138">
        <v>0</v>
      </c>
      <c r="D17" s="138">
        <v>0</v>
      </c>
      <c r="E17" s="138">
        <v>0</v>
      </c>
      <c r="F17" s="138">
        <v>0</v>
      </c>
      <c r="G17" s="138">
        <v>0</v>
      </c>
      <c r="H17" s="138">
        <v>1</v>
      </c>
      <c r="I17" s="138">
        <v>1</v>
      </c>
      <c r="J17" s="138">
        <v>1</v>
      </c>
      <c r="K17" s="138">
        <v>1</v>
      </c>
      <c r="L17" s="138">
        <v>0</v>
      </c>
      <c r="M17" s="138">
        <v>0</v>
      </c>
      <c r="N17" s="138">
        <v>0</v>
      </c>
      <c r="O17" s="138">
        <v>0</v>
      </c>
    </row>
    <row r="18" spans="1:16" ht="15.75" customHeight="1" x14ac:dyDescent="0.35">
      <c r="A18" s="59"/>
      <c r="B18" s="52" t="s">
        <v>86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1</v>
      </c>
      <c r="I18" s="138">
        <v>1</v>
      </c>
      <c r="J18" s="138">
        <v>1</v>
      </c>
      <c r="K18" s="138">
        <v>1</v>
      </c>
      <c r="L18" s="138">
        <v>0</v>
      </c>
      <c r="M18" s="138">
        <v>0</v>
      </c>
      <c r="N18" s="138">
        <v>0</v>
      </c>
      <c r="O18" s="138">
        <v>0</v>
      </c>
    </row>
    <row r="19" spans="1:16" ht="15.75" customHeight="1" x14ac:dyDescent="0.35">
      <c r="B19" s="95" t="s">
        <v>187</v>
      </c>
      <c r="C19" s="138">
        <v>0</v>
      </c>
      <c r="D19" s="138">
        <v>0</v>
      </c>
      <c r="E19" s="138">
        <v>0</v>
      </c>
      <c r="F19" s="138">
        <v>0</v>
      </c>
      <c r="G19" s="138">
        <v>0</v>
      </c>
      <c r="H19" s="138">
        <v>1</v>
      </c>
      <c r="I19" s="138">
        <v>1</v>
      </c>
      <c r="J19" s="138">
        <v>1</v>
      </c>
      <c r="K19" s="138">
        <v>1</v>
      </c>
      <c r="L19" s="138">
        <v>0</v>
      </c>
      <c r="M19" s="138">
        <v>0</v>
      </c>
      <c r="N19" s="138">
        <v>0</v>
      </c>
      <c r="O19" s="138">
        <v>0</v>
      </c>
    </row>
    <row r="20" spans="1:16" ht="15.75" customHeight="1" x14ac:dyDescent="0.35">
      <c r="B20" s="95" t="s">
        <v>209</v>
      </c>
      <c r="C20" s="138">
        <v>0</v>
      </c>
      <c r="D20" s="138">
        <v>0</v>
      </c>
      <c r="E20" s="138">
        <v>0</v>
      </c>
      <c r="F20" s="138">
        <v>0</v>
      </c>
      <c r="G20" s="138">
        <v>0</v>
      </c>
      <c r="H20" s="138">
        <v>1</v>
      </c>
      <c r="I20" s="138">
        <v>1</v>
      </c>
      <c r="J20" s="138">
        <v>1</v>
      </c>
      <c r="K20" s="138">
        <v>1</v>
      </c>
      <c r="L20" s="138">
        <v>0</v>
      </c>
      <c r="M20" s="138">
        <v>0</v>
      </c>
      <c r="N20" s="138">
        <v>0</v>
      </c>
      <c r="O20" s="138">
        <v>0</v>
      </c>
    </row>
    <row r="21" spans="1:16" ht="15.75" customHeight="1" x14ac:dyDescent="0.35">
      <c r="B21" s="96" t="s">
        <v>57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1</v>
      </c>
      <c r="I21" s="138">
        <v>1</v>
      </c>
      <c r="J21" s="138">
        <v>1</v>
      </c>
      <c r="K21" s="138">
        <v>1</v>
      </c>
      <c r="L21" s="138">
        <v>0</v>
      </c>
      <c r="M21" s="138">
        <v>0</v>
      </c>
      <c r="N21" s="138">
        <v>0</v>
      </c>
      <c r="O21" s="138">
        <v>0</v>
      </c>
    </row>
    <row r="22" spans="1:16" ht="15.75" customHeight="1" x14ac:dyDescent="0.35">
      <c r="B22" s="52" t="s">
        <v>88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1</v>
      </c>
      <c r="I22" s="138">
        <v>1</v>
      </c>
      <c r="J22" s="138">
        <v>1</v>
      </c>
      <c r="K22" s="138">
        <v>1</v>
      </c>
      <c r="L22" s="138">
        <v>0</v>
      </c>
      <c r="M22" s="138">
        <v>0</v>
      </c>
      <c r="N22" s="138">
        <v>0</v>
      </c>
      <c r="O22" s="138">
        <v>0</v>
      </c>
    </row>
    <row r="23" spans="1:16" ht="15.75" customHeight="1" x14ac:dyDescent="0.35">
      <c r="B23" s="52" t="s">
        <v>87</v>
      </c>
      <c r="C23" s="138">
        <v>0</v>
      </c>
      <c r="D23" s="138">
        <v>0</v>
      </c>
      <c r="E23" s="138">
        <v>0</v>
      </c>
      <c r="F23" s="138">
        <v>0</v>
      </c>
      <c r="G23" s="138">
        <v>0</v>
      </c>
      <c r="H23" s="138">
        <v>1</v>
      </c>
      <c r="I23" s="138">
        <v>1</v>
      </c>
      <c r="J23" s="138">
        <v>1</v>
      </c>
      <c r="K23" s="138">
        <v>1</v>
      </c>
      <c r="L23" s="138">
        <v>0</v>
      </c>
      <c r="M23" s="138">
        <v>0</v>
      </c>
      <c r="N23" s="138">
        <v>0</v>
      </c>
      <c r="O23" s="138">
        <v>0</v>
      </c>
    </row>
    <row r="24" spans="1:16" ht="15.75" customHeight="1" x14ac:dyDescent="0.35">
      <c r="B24" s="52" t="s">
        <v>59</v>
      </c>
      <c r="C24" s="138">
        <v>0</v>
      </c>
      <c r="D24" s="138">
        <v>0</v>
      </c>
      <c r="E24" s="138">
        <v>0</v>
      </c>
      <c r="F24" s="138">
        <v>0</v>
      </c>
      <c r="G24" s="138">
        <v>0</v>
      </c>
      <c r="H24" s="138">
        <v>1</v>
      </c>
      <c r="I24" s="138">
        <v>1</v>
      </c>
      <c r="J24" s="138">
        <v>1</v>
      </c>
      <c r="K24" s="138">
        <v>1</v>
      </c>
      <c r="L24" s="138">
        <v>0</v>
      </c>
      <c r="M24" s="138">
        <v>0</v>
      </c>
      <c r="N24" s="138">
        <v>0</v>
      </c>
      <c r="O24" s="138">
        <v>0</v>
      </c>
    </row>
    <row r="25" spans="1:16" ht="15.75" customHeight="1" x14ac:dyDescent="0.35">
      <c r="B25" s="52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</row>
    <row r="26" spans="1:16" ht="16.149999999999999" customHeight="1" x14ac:dyDescent="0.35">
      <c r="A26" s="59" t="s">
        <v>37</v>
      </c>
      <c r="B26" s="52" t="s">
        <v>198</v>
      </c>
      <c r="C26" s="138">
        <v>0</v>
      </c>
      <c r="D26" s="138">
        <v>0</v>
      </c>
      <c r="E26" s="138">
        <v>0</v>
      </c>
      <c r="F26" s="138">
        <v>0</v>
      </c>
      <c r="G26" s="138">
        <v>0</v>
      </c>
      <c r="H26" s="138">
        <v>0</v>
      </c>
      <c r="I26" s="138">
        <v>0</v>
      </c>
      <c r="J26" s="138">
        <v>0</v>
      </c>
      <c r="K26" s="138">
        <v>0</v>
      </c>
      <c r="L26" s="138">
        <v>1</v>
      </c>
      <c r="M26" s="138">
        <v>0</v>
      </c>
      <c r="N26" s="138">
        <v>0</v>
      </c>
      <c r="O26" s="138">
        <v>0</v>
      </c>
      <c r="P26" s="97"/>
    </row>
    <row r="27" spans="1:16" ht="15.75" customHeight="1" x14ac:dyDescent="0.35">
      <c r="B27" s="63" t="s">
        <v>188</v>
      </c>
      <c r="C27" s="138">
        <v>0</v>
      </c>
      <c r="D27" s="138">
        <v>0</v>
      </c>
      <c r="E27" s="138">
        <v>0</v>
      </c>
      <c r="F27" s="138">
        <v>0</v>
      </c>
      <c r="G27" s="138">
        <v>0</v>
      </c>
      <c r="H27" s="138">
        <v>0</v>
      </c>
      <c r="I27" s="138">
        <v>0</v>
      </c>
      <c r="J27" s="138">
        <v>0</v>
      </c>
      <c r="K27" s="138">
        <v>0</v>
      </c>
      <c r="L27" s="138">
        <v>1</v>
      </c>
      <c r="M27" s="138">
        <v>1</v>
      </c>
      <c r="N27" s="138">
        <v>1</v>
      </c>
      <c r="O27" s="138">
        <v>1</v>
      </c>
    </row>
    <row r="28" spans="1:16" ht="15.75" customHeight="1" x14ac:dyDescent="0.35">
      <c r="A28" s="59"/>
      <c r="B28" s="63" t="s">
        <v>208</v>
      </c>
      <c r="C28" s="138">
        <v>0</v>
      </c>
      <c r="D28" s="138">
        <v>0</v>
      </c>
      <c r="E28" s="138">
        <v>0</v>
      </c>
      <c r="F28" s="138">
        <v>0</v>
      </c>
      <c r="G28" s="138">
        <v>0</v>
      </c>
      <c r="H28" s="138">
        <v>0</v>
      </c>
      <c r="I28" s="138">
        <v>0</v>
      </c>
      <c r="J28" s="138">
        <v>0</v>
      </c>
      <c r="K28" s="138">
        <v>0</v>
      </c>
      <c r="L28" s="138">
        <v>1</v>
      </c>
      <c r="M28" s="138">
        <v>1</v>
      </c>
      <c r="N28" s="138">
        <v>1</v>
      </c>
      <c r="O28" s="138">
        <v>1</v>
      </c>
    </row>
    <row r="29" spans="1:16" ht="15.75" customHeight="1" x14ac:dyDescent="0.35">
      <c r="B29" s="63" t="s">
        <v>189</v>
      </c>
      <c r="C29" s="138">
        <v>0</v>
      </c>
      <c r="D29" s="138">
        <v>0</v>
      </c>
      <c r="E29" s="138">
        <v>0</v>
      </c>
      <c r="F29" s="138">
        <v>0</v>
      </c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L29" s="138">
        <v>1</v>
      </c>
      <c r="M29" s="138">
        <v>1</v>
      </c>
      <c r="N29" s="138">
        <v>1</v>
      </c>
      <c r="O29" s="138">
        <v>1</v>
      </c>
    </row>
    <row r="30" spans="1:16" ht="15.75" customHeight="1" x14ac:dyDescent="0.35">
      <c r="B30" s="63" t="s">
        <v>190</v>
      </c>
      <c r="C30" s="138">
        <v>0</v>
      </c>
      <c r="D30" s="138">
        <v>0</v>
      </c>
      <c r="E30" s="138">
        <v>0</v>
      </c>
      <c r="F30" s="138">
        <v>0</v>
      </c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1</v>
      </c>
      <c r="M30" s="138">
        <v>0</v>
      </c>
      <c r="N30" s="138">
        <v>0</v>
      </c>
      <c r="O30" s="138">
        <v>0</v>
      </c>
    </row>
    <row r="31" spans="1:16" ht="15.75" customHeight="1" x14ac:dyDescent="0.35">
      <c r="B31" s="52"/>
      <c r="C31" s="135"/>
      <c r="D31" s="135"/>
      <c r="E31" s="136"/>
      <c r="F31" s="136"/>
      <c r="G31" s="136"/>
      <c r="H31" s="136"/>
      <c r="I31" s="136"/>
      <c r="J31" s="134"/>
      <c r="K31" s="134"/>
      <c r="L31" s="134"/>
      <c r="M31" s="134"/>
      <c r="N31" s="134"/>
      <c r="O31" s="134"/>
    </row>
    <row r="32" spans="1:16" ht="15.75" customHeight="1" x14ac:dyDescent="0.35">
      <c r="A32" s="59" t="s">
        <v>35</v>
      </c>
      <c r="B32" s="52" t="s">
        <v>63</v>
      </c>
      <c r="C32" s="138">
        <v>1</v>
      </c>
      <c r="D32" s="138">
        <v>0</v>
      </c>
      <c r="E32" s="138">
        <v>1</v>
      </c>
      <c r="F32" s="138">
        <v>1</v>
      </c>
      <c r="G32" s="138">
        <v>1</v>
      </c>
      <c r="H32" s="138">
        <v>1</v>
      </c>
      <c r="I32" s="138">
        <v>1</v>
      </c>
      <c r="J32" s="138">
        <v>1</v>
      </c>
      <c r="K32" s="138">
        <v>1</v>
      </c>
      <c r="L32" s="138">
        <v>1</v>
      </c>
      <c r="M32" s="138">
        <v>1</v>
      </c>
      <c r="N32" s="138">
        <v>1</v>
      </c>
      <c r="O32" s="138">
        <v>1</v>
      </c>
    </row>
    <row r="33" spans="1:15" ht="15.75" customHeight="1" x14ac:dyDescent="0.35">
      <c r="B33" s="52" t="s">
        <v>64</v>
      </c>
      <c r="C33" s="138">
        <v>1</v>
      </c>
      <c r="D33" s="138">
        <v>0</v>
      </c>
      <c r="E33" s="138">
        <v>1</v>
      </c>
      <c r="F33" s="138">
        <v>1</v>
      </c>
      <c r="G33" s="138">
        <v>1</v>
      </c>
      <c r="H33" s="138">
        <v>1</v>
      </c>
      <c r="I33" s="138">
        <v>1</v>
      </c>
      <c r="J33" s="138">
        <v>1</v>
      </c>
      <c r="K33" s="138">
        <v>1</v>
      </c>
      <c r="L33" s="138">
        <v>1</v>
      </c>
      <c r="M33" s="138">
        <v>1</v>
      </c>
      <c r="N33" s="138">
        <v>1</v>
      </c>
      <c r="O33" s="138">
        <v>1</v>
      </c>
    </row>
    <row r="34" spans="1:15" ht="15.75" customHeight="1" x14ac:dyDescent="0.35">
      <c r="B34" s="52" t="s">
        <v>62</v>
      </c>
      <c r="C34" s="138">
        <v>1</v>
      </c>
      <c r="D34" s="138">
        <v>0</v>
      </c>
      <c r="E34" s="138">
        <v>1</v>
      </c>
      <c r="F34" s="138">
        <v>1</v>
      </c>
      <c r="G34" s="138">
        <v>1</v>
      </c>
      <c r="H34" s="138">
        <v>1</v>
      </c>
      <c r="I34" s="138">
        <v>1</v>
      </c>
      <c r="J34" s="138">
        <v>1</v>
      </c>
      <c r="K34" s="138">
        <v>1</v>
      </c>
      <c r="L34" s="138">
        <v>1</v>
      </c>
      <c r="M34" s="138">
        <v>1</v>
      </c>
      <c r="N34" s="138">
        <v>1</v>
      </c>
      <c r="O34" s="138">
        <v>1</v>
      </c>
    </row>
    <row r="35" spans="1:15" ht="15.75" customHeight="1" x14ac:dyDescent="0.35">
      <c r="B35" s="52" t="s">
        <v>47</v>
      </c>
      <c r="C35" s="138">
        <v>1</v>
      </c>
      <c r="D35" s="138">
        <v>0</v>
      </c>
      <c r="E35" s="138">
        <v>1</v>
      </c>
      <c r="F35" s="138">
        <v>1</v>
      </c>
      <c r="G35" s="138">
        <v>1</v>
      </c>
      <c r="H35" s="138">
        <v>1</v>
      </c>
      <c r="I35" s="138">
        <v>1</v>
      </c>
      <c r="J35" s="138">
        <v>1</v>
      </c>
      <c r="K35" s="138">
        <v>1</v>
      </c>
      <c r="L35" s="138">
        <v>1</v>
      </c>
      <c r="M35" s="138">
        <v>1</v>
      </c>
      <c r="N35" s="138">
        <v>1</v>
      </c>
      <c r="O35" s="138">
        <v>1</v>
      </c>
    </row>
    <row r="36" spans="1:15" ht="15.75" customHeight="1" x14ac:dyDescent="0.35">
      <c r="B36" s="52" t="s">
        <v>34</v>
      </c>
      <c r="C36" s="138">
        <v>1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  <c r="I36" s="138">
        <v>1</v>
      </c>
      <c r="J36" s="138">
        <v>1</v>
      </c>
      <c r="K36" s="138">
        <v>1</v>
      </c>
      <c r="L36" s="138">
        <v>1</v>
      </c>
      <c r="M36" s="138">
        <v>1</v>
      </c>
      <c r="N36" s="138">
        <v>1</v>
      </c>
      <c r="O36" s="138">
        <v>1</v>
      </c>
    </row>
    <row r="37" spans="1:15" ht="15.75" customHeight="1" x14ac:dyDescent="0.35">
      <c r="A37" s="98"/>
      <c r="B37" s="52" t="s">
        <v>83</v>
      </c>
      <c r="C37" s="138">
        <v>1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  <c r="I37" s="138">
        <v>1</v>
      </c>
      <c r="J37" s="138">
        <v>1</v>
      </c>
      <c r="K37" s="138">
        <v>1</v>
      </c>
      <c r="L37" s="138">
        <v>1</v>
      </c>
      <c r="M37" s="138">
        <v>1</v>
      </c>
      <c r="N37" s="138">
        <v>1</v>
      </c>
      <c r="O37" s="138">
        <v>1</v>
      </c>
    </row>
    <row r="38" spans="1:15" s="98" customFormat="1" ht="15.75" customHeight="1" x14ac:dyDescent="0.35">
      <c r="B38" s="52" t="s">
        <v>82</v>
      </c>
      <c r="C38" s="138">
        <v>1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  <c r="I38" s="138">
        <v>1</v>
      </c>
      <c r="J38" s="138">
        <v>1</v>
      </c>
      <c r="K38" s="138">
        <v>1</v>
      </c>
      <c r="L38" s="138">
        <v>1</v>
      </c>
      <c r="M38" s="138">
        <v>1</v>
      </c>
      <c r="N38" s="138">
        <v>1</v>
      </c>
      <c r="O38" s="138">
        <v>1</v>
      </c>
    </row>
    <row r="39" spans="1:15" s="98" customFormat="1" ht="15.75" customHeight="1" x14ac:dyDescent="0.35">
      <c r="B39" s="52" t="s">
        <v>81</v>
      </c>
      <c r="C39" s="138">
        <v>1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  <c r="I39" s="138">
        <v>1</v>
      </c>
      <c r="J39" s="138">
        <v>1</v>
      </c>
      <c r="K39" s="138">
        <v>1</v>
      </c>
      <c r="L39" s="138">
        <v>1</v>
      </c>
      <c r="M39" s="138">
        <v>1</v>
      </c>
      <c r="N39" s="138">
        <v>1</v>
      </c>
      <c r="O39" s="138">
        <v>1</v>
      </c>
    </row>
    <row r="40" spans="1:15" s="98" customFormat="1" ht="15.75" customHeight="1" x14ac:dyDescent="0.35">
      <c r="B40" s="52" t="s">
        <v>79</v>
      </c>
      <c r="C40" s="138">
        <v>1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  <c r="I40" s="138">
        <v>1</v>
      </c>
      <c r="J40" s="138">
        <v>1</v>
      </c>
      <c r="K40" s="138">
        <v>1</v>
      </c>
      <c r="L40" s="138">
        <v>1</v>
      </c>
      <c r="M40" s="138">
        <v>1</v>
      </c>
      <c r="N40" s="138">
        <v>1</v>
      </c>
      <c r="O40" s="138">
        <v>1</v>
      </c>
    </row>
    <row r="41" spans="1:15" ht="15" customHeight="1" x14ac:dyDescent="0.35">
      <c r="B41" s="52" t="s">
        <v>80</v>
      </c>
      <c r="C41" s="138">
        <v>1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  <c r="I41" s="138">
        <v>1</v>
      </c>
      <c r="J41" s="138">
        <v>1</v>
      </c>
      <c r="K41" s="138">
        <v>1</v>
      </c>
      <c r="L41" s="138">
        <v>1</v>
      </c>
      <c r="M41" s="138">
        <v>1</v>
      </c>
      <c r="N41" s="138">
        <v>1</v>
      </c>
      <c r="O41" s="138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265625" defaultRowHeight="12.5" x14ac:dyDescent="0.25"/>
  <cols>
    <col min="1" max="1" width="58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8"/>
      <c r="C2" s="138"/>
      <c r="D2" s="138"/>
      <c r="E2" s="138"/>
      <c r="F2" s="138"/>
      <c r="G2" s="138"/>
      <c r="H2" s="138"/>
      <c r="I2" s="138" t="s">
        <v>194</v>
      </c>
      <c r="J2" s="138"/>
      <c r="K2" s="138"/>
    </row>
    <row r="3" spans="1:11" x14ac:dyDescent="0.25">
      <c r="A3" s="52" t="s">
        <v>86</v>
      </c>
      <c r="B3" s="138"/>
      <c r="C3" s="138"/>
      <c r="D3" s="138"/>
      <c r="E3" s="138"/>
      <c r="F3" s="138"/>
      <c r="G3" s="138"/>
      <c r="H3" s="138" t="s">
        <v>194</v>
      </c>
      <c r="I3" s="138"/>
      <c r="J3" s="138"/>
      <c r="K3" s="138"/>
    </row>
    <row r="4" spans="1:11" x14ac:dyDescent="0.25">
      <c r="A4" s="52" t="s">
        <v>61</v>
      </c>
      <c r="B4" s="138"/>
      <c r="C4" s="138"/>
      <c r="D4" s="138" t="s">
        <v>194</v>
      </c>
      <c r="E4" s="138"/>
      <c r="F4" s="138"/>
      <c r="G4" s="138"/>
      <c r="H4" s="138"/>
      <c r="I4" s="138"/>
      <c r="J4" s="138"/>
      <c r="K4" s="138"/>
    </row>
    <row r="5" spans="1:11" x14ac:dyDescent="0.25">
      <c r="A5" s="52" t="s">
        <v>149</v>
      </c>
      <c r="B5" s="138"/>
      <c r="C5" s="138" t="s">
        <v>194</v>
      </c>
      <c r="D5" s="138"/>
      <c r="E5" s="138"/>
      <c r="F5" s="138"/>
      <c r="G5" s="138"/>
      <c r="H5" s="138"/>
      <c r="I5" s="138"/>
      <c r="J5" s="138"/>
      <c r="K5" s="138"/>
    </row>
    <row r="6" spans="1:11" x14ac:dyDescent="0.25">
      <c r="A6" s="52" t="s">
        <v>198</v>
      </c>
      <c r="B6" s="138"/>
      <c r="C6" s="138"/>
      <c r="D6" s="138"/>
      <c r="E6" s="138"/>
      <c r="F6" s="138"/>
      <c r="G6" s="138"/>
      <c r="H6" s="138"/>
      <c r="I6" s="138"/>
      <c r="J6" s="138" t="s">
        <v>194</v>
      </c>
      <c r="K6" s="138" t="s">
        <v>194</v>
      </c>
    </row>
    <row r="7" spans="1:11" x14ac:dyDescent="0.25">
      <c r="A7" s="52" t="s">
        <v>63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/>
      <c r="J7" s="138"/>
      <c r="K7" s="138"/>
    </row>
    <row r="8" spans="1:11" x14ac:dyDescent="0.25">
      <c r="A8" s="52" t="s">
        <v>64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/>
      <c r="J8" s="138"/>
      <c r="K8" s="138"/>
    </row>
    <row r="9" spans="1:11" x14ac:dyDescent="0.25">
      <c r="A9" s="52" t="s">
        <v>62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/>
      <c r="J9" s="138"/>
      <c r="K9" s="138"/>
    </row>
    <row r="10" spans="1:11" x14ac:dyDescent="0.25">
      <c r="A10" s="63" t="s">
        <v>188</v>
      </c>
      <c r="B10" s="138"/>
      <c r="C10" s="138" t="s">
        <v>194</v>
      </c>
      <c r="D10" s="138"/>
      <c r="E10" s="138"/>
      <c r="F10" s="138"/>
      <c r="G10" s="138"/>
      <c r="H10" s="138"/>
      <c r="I10" s="138"/>
      <c r="J10" s="138"/>
      <c r="K10" s="138"/>
    </row>
    <row r="11" spans="1:11" x14ac:dyDescent="0.25">
      <c r="A11" s="63" t="s">
        <v>208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/>
      <c r="K11" s="138"/>
    </row>
    <row r="12" spans="1:11" x14ac:dyDescent="0.25">
      <c r="A12" s="63" t="s">
        <v>189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/>
    </row>
    <row r="13" spans="1:11" x14ac:dyDescent="0.25">
      <c r="A13" s="63" t="s">
        <v>190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/>
    </row>
    <row r="14" spans="1:11" x14ac:dyDescent="0.25">
      <c r="A14" s="95" t="s">
        <v>187</v>
      </c>
      <c r="B14" s="138"/>
      <c r="C14" s="138" t="s">
        <v>194</v>
      </c>
      <c r="D14" s="138"/>
      <c r="E14" s="138"/>
      <c r="F14" s="138"/>
      <c r="G14" s="138"/>
      <c r="H14" s="138"/>
      <c r="I14" s="138" t="s">
        <v>194</v>
      </c>
      <c r="J14" s="138"/>
      <c r="K14" s="138"/>
    </row>
    <row r="15" spans="1:11" x14ac:dyDescent="0.25">
      <c r="A15" s="95" t="s">
        <v>209</v>
      </c>
      <c r="B15" s="138"/>
      <c r="C15" s="138" t="s">
        <v>194</v>
      </c>
      <c r="D15" s="138"/>
      <c r="E15" s="138"/>
      <c r="F15" s="138"/>
      <c r="G15" s="138"/>
      <c r="H15" s="138"/>
      <c r="I15" s="138" t="s">
        <v>194</v>
      </c>
      <c r="J15" s="138"/>
      <c r="K15" s="138"/>
    </row>
    <row r="16" spans="1:11" x14ac:dyDescent="0.25">
      <c r="A16" s="52" t="s">
        <v>57</v>
      </c>
      <c r="B16" s="138"/>
      <c r="C16" s="138" t="s">
        <v>194</v>
      </c>
      <c r="D16" s="138"/>
      <c r="E16" s="138"/>
      <c r="F16" s="138"/>
      <c r="G16" s="138"/>
      <c r="H16" s="138" t="s">
        <v>194</v>
      </c>
      <c r="I16" s="138" t="s">
        <v>194</v>
      </c>
      <c r="J16" s="138"/>
      <c r="K16" s="138"/>
    </row>
    <row r="17" spans="1:11" x14ac:dyDescent="0.25">
      <c r="A17" s="52" t="s">
        <v>47</v>
      </c>
      <c r="B17" s="138"/>
      <c r="C17" s="138" t="s">
        <v>194</v>
      </c>
      <c r="D17" s="138"/>
      <c r="E17" s="138"/>
      <c r="F17" s="138"/>
      <c r="G17" s="138"/>
      <c r="H17" s="138"/>
      <c r="I17" s="138"/>
      <c r="J17" s="138"/>
      <c r="K17" s="138"/>
    </row>
    <row r="18" spans="1:11" x14ac:dyDescent="0.25">
      <c r="A18" s="52" t="s">
        <v>173</v>
      </c>
      <c r="B18" s="138" t="s">
        <v>194</v>
      </c>
      <c r="C18" s="138"/>
      <c r="D18" s="138"/>
      <c r="E18" s="138"/>
      <c r="F18" s="138" t="s">
        <v>194</v>
      </c>
      <c r="G18" s="138"/>
      <c r="H18" s="138"/>
      <c r="I18" s="138"/>
      <c r="J18" s="138"/>
      <c r="K18" s="138"/>
    </row>
    <row r="19" spans="1:11" x14ac:dyDescent="0.25">
      <c r="A19" s="52" t="s">
        <v>199</v>
      </c>
      <c r="B19" s="138" t="s">
        <v>194</v>
      </c>
      <c r="C19" s="138"/>
      <c r="D19" s="138"/>
      <c r="E19" s="138"/>
      <c r="F19" s="138" t="s">
        <v>194</v>
      </c>
      <c r="G19" s="138"/>
      <c r="H19" s="138"/>
      <c r="I19" s="138"/>
      <c r="J19" s="138"/>
      <c r="K19" s="138"/>
    </row>
    <row r="20" spans="1:11" x14ac:dyDescent="0.25">
      <c r="A20" s="52" t="s">
        <v>200</v>
      </c>
      <c r="B20" s="138" t="s">
        <v>194</v>
      </c>
      <c r="C20" s="138"/>
      <c r="D20" s="138"/>
      <c r="E20" s="138"/>
      <c r="F20" s="138" t="s">
        <v>194</v>
      </c>
      <c r="G20" s="138"/>
      <c r="H20" s="138"/>
      <c r="I20" s="138"/>
      <c r="J20" s="138"/>
      <c r="K20" s="138"/>
    </row>
    <row r="21" spans="1:11" x14ac:dyDescent="0.25">
      <c r="A21" s="52" t="s">
        <v>196</v>
      </c>
      <c r="B21" s="138"/>
      <c r="C21" s="138"/>
      <c r="D21" s="138"/>
      <c r="E21" s="138"/>
      <c r="F21" s="138"/>
      <c r="G21" s="138"/>
      <c r="H21" s="138" t="s">
        <v>194</v>
      </c>
      <c r="I21" s="138" t="s">
        <v>194</v>
      </c>
      <c r="J21" s="138"/>
      <c r="K21" s="138"/>
    </row>
    <row r="22" spans="1:11" x14ac:dyDescent="0.25">
      <c r="A22" s="52" t="s">
        <v>136</v>
      </c>
      <c r="B22" s="138" t="s">
        <v>194</v>
      </c>
      <c r="C22" s="138" t="s">
        <v>194</v>
      </c>
      <c r="D22" s="138" t="s">
        <v>194</v>
      </c>
      <c r="E22" s="138"/>
      <c r="F22" s="138"/>
      <c r="G22" s="138"/>
      <c r="H22" s="138"/>
      <c r="I22" s="138"/>
      <c r="J22" s="138"/>
      <c r="K22" s="138"/>
    </row>
    <row r="23" spans="1:11" x14ac:dyDescent="0.25">
      <c r="A23" s="52" t="s">
        <v>34</v>
      </c>
      <c r="B23" s="138"/>
      <c r="C23" s="138" t="s">
        <v>194</v>
      </c>
      <c r="D23" s="138"/>
      <c r="E23" s="138"/>
      <c r="F23" s="138"/>
      <c r="G23" s="138"/>
      <c r="H23" s="138"/>
      <c r="I23" s="138" t="s">
        <v>194</v>
      </c>
      <c r="J23" s="138"/>
      <c r="K23" s="138"/>
    </row>
    <row r="24" spans="1:11" x14ac:dyDescent="0.25">
      <c r="A24" s="52" t="s">
        <v>88</v>
      </c>
      <c r="B24" s="138"/>
      <c r="C24" s="138"/>
      <c r="D24" s="138"/>
      <c r="E24" s="138"/>
      <c r="F24" s="138"/>
      <c r="G24" s="138"/>
      <c r="H24" s="138" t="s">
        <v>194</v>
      </c>
      <c r="I24" s="138"/>
      <c r="J24" s="138"/>
      <c r="K24" s="138"/>
    </row>
    <row r="25" spans="1:11" x14ac:dyDescent="0.25">
      <c r="A25" s="52" t="s">
        <v>87</v>
      </c>
      <c r="B25" s="138"/>
      <c r="C25" s="138"/>
      <c r="D25" s="138"/>
      <c r="E25" s="138"/>
      <c r="F25" s="138"/>
      <c r="G25" s="138"/>
      <c r="H25" s="138" t="s">
        <v>194</v>
      </c>
      <c r="I25" s="138"/>
      <c r="J25" s="138"/>
      <c r="K25" s="138"/>
    </row>
    <row r="26" spans="1:11" x14ac:dyDescent="0.25">
      <c r="A26" s="52" t="s">
        <v>137</v>
      </c>
      <c r="B26" s="138"/>
      <c r="C26" s="138" t="s">
        <v>194</v>
      </c>
      <c r="D26" s="138"/>
      <c r="E26" s="138"/>
      <c r="F26" s="138"/>
      <c r="G26" s="138"/>
      <c r="H26" s="138"/>
      <c r="I26" s="138"/>
      <c r="J26" s="138"/>
      <c r="K26" s="138"/>
    </row>
    <row r="27" spans="1:11" x14ac:dyDescent="0.25">
      <c r="A27" s="52" t="s">
        <v>59</v>
      </c>
      <c r="B27" s="138"/>
      <c r="C27" s="138" t="s">
        <v>194</v>
      </c>
      <c r="D27" s="138"/>
      <c r="E27" s="138"/>
      <c r="F27" s="138"/>
      <c r="G27" s="138"/>
      <c r="H27" s="138"/>
      <c r="I27" s="138" t="s">
        <v>194</v>
      </c>
      <c r="J27" s="138"/>
      <c r="K27" s="138"/>
    </row>
    <row r="28" spans="1:11" x14ac:dyDescent="0.25">
      <c r="A28" s="52" t="s">
        <v>84</v>
      </c>
      <c r="B28" s="138"/>
      <c r="C28" s="138"/>
      <c r="D28" s="138"/>
      <c r="E28" s="138"/>
      <c r="F28" s="138"/>
      <c r="G28" s="138"/>
      <c r="H28" s="138" t="s">
        <v>194</v>
      </c>
      <c r="I28" s="138"/>
      <c r="J28" s="138"/>
      <c r="K28" s="138"/>
    </row>
    <row r="29" spans="1:11" x14ac:dyDescent="0.25">
      <c r="A29" s="52" t="s">
        <v>58</v>
      </c>
      <c r="B29" s="138" t="s">
        <v>194</v>
      </c>
      <c r="C29" s="138"/>
      <c r="D29" s="138" t="s">
        <v>194</v>
      </c>
      <c r="E29" s="138"/>
      <c r="F29" s="138"/>
      <c r="G29" s="138"/>
      <c r="H29" s="138"/>
      <c r="I29" s="138"/>
      <c r="J29" s="138"/>
      <c r="K29" s="138"/>
    </row>
    <row r="30" spans="1:11" x14ac:dyDescent="0.25">
      <c r="A30" s="52" t="s">
        <v>67</v>
      </c>
      <c r="B30" s="138"/>
      <c r="C30" s="138"/>
      <c r="D30" s="138"/>
      <c r="E30" s="138" t="s">
        <v>194</v>
      </c>
      <c r="F30" s="138"/>
      <c r="G30" s="138"/>
      <c r="H30" s="138"/>
      <c r="I30" s="138"/>
      <c r="J30" s="138"/>
      <c r="K30" s="138"/>
    </row>
    <row r="31" spans="1:11" x14ac:dyDescent="0.25">
      <c r="A31" s="52" t="s">
        <v>28</v>
      </c>
      <c r="B31" s="138"/>
      <c r="C31" s="138"/>
      <c r="D31" s="138"/>
      <c r="E31" s="138"/>
      <c r="F31" s="138"/>
      <c r="G31" s="138" t="s">
        <v>194</v>
      </c>
      <c r="H31" s="138" t="s">
        <v>194</v>
      </c>
      <c r="I31" s="138"/>
      <c r="J31" s="138"/>
      <c r="K31" s="138"/>
    </row>
    <row r="32" spans="1:11" x14ac:dyDescent="0.25">
      <c r="A32" s="52" t="s">
        <v>83</v>
      </c>
      <c r="B32" s="138"/>
      <c r="C32" s="138"/>
      <c r="D32" s="138"/>
      <c r="E32" s="138"/>
      <c r="F32" s="138"/>
      <c r="G32" s="138" t="s">
        <v>194</v>
      </c>
      <c r="H32" s="138" t="s">
        <v>194</v>
      </c>
      <c r="I32" s="138"/>
      <c r="J32" s="138"/>
      <c r="K32" s="138"/>
    </row>
    <row r="33" spans="1:11" x14ac:dyDescent="0.25">
      <c r="A33" s="52" t="s">
        <v>82</v>
      </c>
      <c r="B33" s="138"/>
      <c r="C33" s="138"/>
      <c r="D33" s="138"/>
      <c r="E33" s="138"/>
      <c r="F33" s="138"/>
      <c r="G33" s="138" t="s">
        <v>194</v>
      </c>
      <c r="H33" s="138" t="s">
        <v>194</v>
      </c>
      <c r="I33" s="138"/>
      <c r="J33" s="138"/>
      <c r="K33" s="138"/>
    </row>
    <row r="34" spans="1:11" x14ac:dyDescent="0.25">
      <c r="A34" s="52" t="s">
        <v>81</v>
      </c>
      <c r="B34" s="138"/>
      <c r="C34" s="138"/>
      <c r="D34" s="138"/>
      <c r="E34" s="138"/>
      <c r="F34" s="138"/>
      <c r="G34" s="138" t="s">
        <v>194</v>
      </c>
      <c r="H34" s="138" t="s">
        <v>194</v>
      </c>
      <c r="I34" s="138"/>
      <c r="J34" s="138"/>
      <c r="K34" s="138"/>
    </row>
    <row r="35" spans="1:11" x14ac:dyDescent="0.25">
      <c r="A35" s="52" t="s">
        <v>79</v>
      </c>
      <c r="B35" s="138"/>
      <c r="C35" s="138"/>
      <c r="D35" s="138"/>
      <c r="E35" s="138"/>
      <c r="F35" s="138"/>
      <c r="G35" s="138" t="s">
        <v>194</v>
      </c>
      <c r="H35" s="138" t="s">
        <v>194</v>
      </c>
      <c r="I35" s="138"/>
      <c r="J35" s="138"/>
      <c r="K35" s="138"/>
    </row>
    <row r="36" spans="1:11" x14ac:dyDescent="0.25">
      <c r="A36" s="52" t="s">
        <v>80</v>
      </c>
      <c r="B36" s="138"/>
      <c r="C36" s="138"/>
      <c r="D36" s="138"/>
      <c r="E36" s="138"/>
      <c r="F36" s="138"/>
      <c r="G36" s="138" t="s">
        <v>194</v>
      </c>
      <c r="H36" s="138" t="s">
        <v>194</v>
      </c>
      <c r="I36" s="138"/>
      <c r="J36" s="138"/>
      <c r="K36" s="138"/>
    </row>
    <row r="37" spans="1:11" x14ac:dyDescent="0.25">
      <c r="A37" s="52" t="s">
        <v>85</v>
      </c>
      <c r="B37" s="138"/>
      <c r="C37" s="138"/>
      <c r="D37" s="138"/>
      <c r="E37" s="138"/>
      <c r="F37" s="138"/>
      <c r="G37" s="138"/>
      <c r="H37" s="138" t="s">
        <v>194</v>
      </c>
      <c r="I37" s="138"/>
      <c r="J37" s="138"/>
      <c r="K37" s="138"/>
    </row>
    <row r="38" spans="1:11" x14ac:dyDescent="0.25">
      <c r="A38" s="52" t="s">
        <v>60</v>
      </c>
      <c r="B38" s="138" t="s">
        <v>194</v>
      </c>
      <c r="C38" s="138"/>
      <c r="D38" s="138"/>
      <c r="E38" s="138"/>
      <c r="F38" s="138"/>
      <c r="G38" s="138" t="s">
        <v>194</v>
      </c>
      <c r="H38" s="138" t="s">
        <v>194</v>
      </c>
      <c r="I38" s="138"/>
      <c r="J38" s="138"/>
      <c r="K38" s="138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265625" defaultRowHeight="12.5" x14ac:dyDescent="0.25"/>
  <cols>
    <col min="1" max="1" width="16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8" t="s">
        <v>194</v>
      </c>
      <c r="C2" s="138" t="s">
        <v>194</v>
      </c>
      <c r="D2" s="138" t="s">
        <v>194</v>
      </c>
      <c r="E2" s="138" t="s">
        <v>194</v>
      </c>
      <c r="F2" s="138" t="s">
        <v>194</v>
      </c>
      <c r="G2" s="138" t="s">
        <v>194</v>
      </c>
      <c r="H2" s="138" t="s">
        <v>194</v>
      </c>
      <c r="I2" s="138"/>
      <c r="J2" s="138"/>
      <c r="K2" s="138"/>
    </row>
    <row r="3" spans="1:11" x14ac:dyDescent="0.25">
      <c r="A3" s="35" t="s">
        <v>2</v>
      </c>
      <c r="B3" s="138" t="s">
        <v>194</v>
      </c>
      <c r="C3" s="138" t="s">
        <v>194</v>
      </c>
      <c r="D3" s="138" t="s">
        <v>194</v>
      </c>
      <c r="E3" s="138" t="s">
        <v>194</v>
      </c>
      <c r="F3" s="138" t="s">
        <v>194</v>
      </c>
      <c r="G3" s="138" t="s">
        <v>194</v>
      </c>
      <c r="H3" s="138" t="s">
        <v>194</v>
      </c>
      <c r="I3" s="138"/>
      <c r="J3" s="138"/>
      <c r="K3" s="138"/>
    </row>
    <row r="4" spans="1:11" x14ac:dyDescent="0.25">
      <c r="A4" s="35" t="s">
        <v>3</v>
      </c>
      <c r="B4" s="138" t="s">
        <v>194</v>
      </c>
      <c r="C4" s="138" t="s">
        <v>194</v>
      </c>
      <c r="D4" s="138" t="s">
        <v>194</v>
      </c>
      <c r="E4" s="138" t="s">
        <v>194</v>
      </c>
      <c r="F4" s="138" t="s">
        <v>194</v>
      </c>
      <c r="G4" s="138" t="s">
        <v>194</v>
      </c>
      <c r="H4" s="138" t="s">
        <v>194</v>
      </c>
      <c r="I4" s="138"/>
      <c r="J4" s="138"/>
      <c r="K4" s="138"/>
    </row>
    <row r="5" spans="1:11" x14ac:dyDescent="0.25">
      <c r="A5" s="35" t="s">
        <v>4</v>
      </c>
      <c r="B5" s="138" t="s">
        <v>194</v>
      </c>
      <c r="C5" s="138" t="s">
        <v>194</v>
      </c>
      <c r="D5" s="138" t="s">
        <v>194</v>
      </c>
      <c r="E5" s="138" t="s">
        <v>194</v>
      </c>
      <c r="F5" s="138" t="s">
        <v>194</v>
      </c>
      <c r="G5" s="138" t="s">
        <v>194</v>
      </c>
      <c r="H5" s="138" t="s">
        <v>194</v>
      </c>
      <c r="I5" s="138"/>
      <c r="J5" s="138"/>
      <c r="K5" s="138"/>
    </row>
    <row r="6" spans="1:11" x14ac:dyDescent="0.25">
      <c r="A6" s="35" t="s">
        <v>5</v>
      </c>
      <c r="B6" s="138" t="s">
        <v>194</v>
      </c>
      <c r="C6" s="138" t="s">
        <v>194</v>
      </c>
      <c r="D6" s="138" t="s">
        <v>194</v>
      </c>
      <c r="E6" s="138" t="s">
        <v>194</v>
      </c>
      <c r="F6" s="138" t="s">
        <v>194</v>
      </c>
      <c r="G6" s="138" t="s">
        <v>194</v>
      </c>
      <c r="H6" s="138" t="s">
        <v>194</v>
      </c>
      <c r="I6" s="138"/>
      <c r="J6" s="138"/>
      <c r="K6" s="138"/>
    </row>
    <row r="7" spans="1:11" x14ac:dyDescent="0.25">
      <c r="A7" s="35" t="s">
        <v>53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 t="s">
        <v>194</v>
      </c>
      <c r="J7" s="138"/>
      <c r="K7" s="138"/>
    </row>
    <row r="8" spans="1:11" x14ac:dyDescent="0.25">
      <c r="A8" s="35" t="s">
        <v>54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 t="s">
        <v>194</v>
      </c>
      <c r="J8" s="138"/>
      <c r="K8" s="138"/>
    </row>
    <row r="9" spans="1:11" x14ac:dyDescent="0.25">
      <c r="A9" s="35" t="s">
        <v>55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 t="s">
        <v>194</v>
      </c>
      <c r="J9" s="138"/>
      <c r="K9" s="138"/>
    </row>
    <row r="10" spans="1:11" x14ac:dyDescent="0.25">
      <c r="A10" s="35" t="s">
        <v>56</v>
      </c>
      <c r="B10" s="138"/>
      <c r="C10" s="138" t="s">
        <v>194</v>
      </c>
      <c r="D10" s="138"/>
      <c r="E10" s="138"/>
      <c r="F10" s="138"/>
      <c r="G10" s="138"/>
      <c r="H10" s="138" t="s">
        <v>194</v>
      </c>
      <c r="I10" s="138" t="s">
        <v>194</v>
      </c>
      <c r="J10" s="138"/>
      <c r="K10" s="138"/>
    </row>
    <row r="11" spans="1:11" x14ac:dyDescent="0.25">
      <c r="A11" s="35" t="s">
        <v>49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 t="s">
        <v>194</v>
      </c>
      <c r="K11" s="138" t="s">
        <v>194</v>
      </c>
    </row>
    <row r="12" spans="1:11" x14ac:dyDescent="0.25">
      <c r="A12" s="35" t="s">
        <v>50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 t="s">
        <v>194</v>
      </c>
    </row>
    <row r="13" spans="1:11" x14ac:dyDescent="0.25">
      <c r="A13" s="35" t="s">
        <v>51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 t="s">
        <v>194</v>
      </c>
    </row>
    <row r="14" spans="1:11" x14ac:dyDescent="0.25">
      <c r="A14" s="35" t="s">
        <v>52</v>
      </c>
      <c r="B14" s="138"/>
      <c r="C14" s="138" t="s">
        <v>194</v>
      </c>
      <c r="D14" s="138"/>
      <c r="E14" s="138"/>
      <c r="F14" s="138"/>
      <c r="G14" s="138"/>
      <c r="H14" s="138"/>
      <c r="I14" s="138"/>
      <c r="J14" s="138"/>
      <c r="K14" s="138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zoomScale="85" zoomScaleNormal="85" workbookViewId="0">
      <selection activeCell="G15" sqref="G15"/>
    </sheetView>
  </sheetViews>
  <sheetFormatPr defaultColWidth="12.7265625" defaultRowHeight="12.5" x14ac:dyDescent="0.25"/>
  <cols>
    <col min="1" max="1" width="48.1796875" style="35" customWidth="1"/>
    <col min="2" max="2" width="15" style="35" customWidth="1"/>
    <col min="3" max="3" width="14.7265625" style="35" customWidth="1"/>
    <col min="4" max="16384" width="12.7265625" style="35"/>
  </cols>
  <sheetData>
    <row r="1" spans="1:10" ht="13" x14ac:dyDescent="0.3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9" t="s">
        <v>5</v>
      </c>
    </row>
    <row r="2" spans="1:10" ht="13" x14ac:dyDescent="0.3">
      <c r="A2" s="40" t="s">
        <v>220</v>
      </c>
      <c r="B2" s="146" t="s">
        <v>32</v>
      </c>
      <c r="C2" s="35" t="s">
        <v>176</v>
      </c>
      <c r="D2" s="139">
        <v>1</v>
      </c>
      <c r="E2" s="139">
        <v>1</v>
      </c>
      <c r="F2" s="139">
        <v>1</v>
      </c>
      <c r="G2" s="139">
        <v>1</v>
      </c>
      <c r="H2" s="139">
        <v>1</v>
      </c>
    </row>
    <row r="3" spans="1:10" x14ac:dyDescent="0.25">
      <c r="B3" s="146"/>
      <c r="C3" s="35" t="s">
        <v>175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J3" s="100"/>
    </row>
    <row r="4" spans="1:10" x14ac:dyDescent="0.25">
      <c r="B4" s="146"/>
      <c r="C4" s="35" t="s">
        <v>174</v>
      </c>
      <c r="D4" s="139">
        <v>1</v>
      </c>
      <c r="E4" s="139">
        <v>1</v>
      </c>
      <c r="F4" s="139">
        <v>1</v>
      </c>
      <c r="G4" s="139">
        <v>1</v>
      </c>
      <c r="H4" s="139">
        <v>1</v>
      </c>
      <c r="J4" s="100"/>
    </row>
    <row r="5" spans="1:10" x14ac:dyDescent="0.25">
      <c r="B5" s="146" t="s">
        <v>1</v>
      </c>
      <c r="C5" s="35" t="s">
        <v>176</v>
      </c>
      <c r="D5" s="139">
        <f>5.16</f>
        <v>5.16</v>
      </c>
      <c r="E5" s="139">
        <v>1</v>
      </c>
      <c r="F5" s="139">
        <v>1</v>
      </c>
      <c r="G5" s="139">
        <v>1</v>
      </c>
      <c r="H5" s="139">
        <v>1</v>
      </c>
    </row>
    <row r="6" spans="1:10" x14ac:dyDescent="0.25">
      <c r="B6" s="146"/>
      <c r="C6" s="35" t="s">
        <v>175</v>
      </c>
      <c r="D6" s="139">
        <v>5.16</v>
      </c>
      <c r="E6" s="139">
        <v>1</v>
      </c>
      <c r="F6" s="139">
        <v>1</v>
      </c>
      <c r="G6" s="139">
        <v>1</v>
      </c>
      <c r="H6" s="139">
        <v>1</v>
      </c>
    </row>
    <row r="7" spans="1:10" x14ac:dyDescent="0.25">
      <c r="B7" s="146"/>
      <c r="C7" s="35" t="s">
        <v>174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</row>
    <row r="8" spans="1:10" x14ac:dyDescent="0.25">
      <c r="B8" s="146" t="s">
        <v>2</v>
      </c>
      <c r="C8" s="35" t="s">
        <v>176</v>
      </c>
      <c r="D8" s="139">
        <v>1</v>
      </c>
      <c r="E8" s="139">
        <v>5.16</v>
      </c>
      <c r="F8" s="139">
        <v>1</v>
      </c>
      <c r="G8" s="139">
        <v>1</v>
      </c>
      <c r="H8" s="139">
        <v>1</v>
      </c>
    </row>
    <row r="9" spans="1:10" x14ac:dyDescent="0.25">
      <c r="B9" s="146"/>
      <c r="C9" s="35" t="s">
        <v>175</v>
      </c>
      <c r="D9" s="139">
        <v>1</v>
      </c>
      <c r="E9" s="139">
        <v>5.16</v>
      </c>
      <c r="F9" s="139">
        <v>1</v>
      </c>
      <c r="G9" s="139">
        <v>1</v>
      </c>
      <c r="H9" s="139">
        <v>1</v>
      </c>
    </row>
    <row r="10" spans="1:10" x14ac:dyDescent="0.25">
      <c r="B10" s="146"/>
      <c r="C10" s="35" t="s">
        <v>174</v>
      </c>
      <c r="D10" s="139">
        <v>1</v>
      </c>
      <c r="E10" s="139">
        <v>1</v>
      </c>
      <c r="F10" s="139">
        <v>1</v>
      </c>
      <c r="G10" s="139">
        <v>1</v>
      </c>
      <c r="H10" s="139">
        <v>1</v>
      </c>
    </row>
    <row r="11" spans="1:10" x14ac:dyDescent="0.25">
      <c r="B11" s="146" t="s">
        <v>3</v>
      </c>
      <c r="C11" s="35" t="s">
        <v>176</v>
      </c>
      <c r="D11" s="139">
        <v>1</v>
      </c>
      <c r="E11" s="139">
        <v>1</v>
      </c>
      <c r="F11" s="139">
        <v>1.82</v>
      </c>
      <c r="G11" s="139">
        <v>1</v>
      </c>
      <c r="H11" s="139">
        <v>1</v>
      </c>
    </row>
    <row r="12" spans="1:10" x14ac:dyDescent="0.25">
      <c r="B12" s="146"/>
      <c r="C12" s="35" t="s">
        <v>175</v>
      </c>
      <c r="D12" s="139">
        <v>1</v>
      </c>
      <c r="E12" s="139">
        <v>1</v>
      </c>
      <c r="F12" s="139">
        <v>1.82</v>
      </c>
      <c r="G12" s="139">
        <v>1</v>
      </c>
      <c r="H12" s="139">
        <v>1</v>
      </c>
    </row>
    <row r="13" spans="1:10" x14ac:dyDescent="0.25">
      <c r="B13" s="146"/>
      <c r="C13" s="35" t="s">
        <v>174</v>
      </c>
      <c r="D13" s="139">
        <v>1</v>
      </c>
      <c r="E13" s="139">
        <v>1</v>
      </c>
      <c r="F13" s="139">
        <v>1</v>
      </c>
      <c r="G13" s="139">
        <v>1</v>
      </c>
      <c r="H13" s="139">
        <v>1</v>
      </c>
    </row>
    <row r="14" spans="1:10" x14ac:dyDescent="0.25">
      <c r="B14" s="146" t="s">
        <v>4</v>
      </c>
      <c r="C14" s="35" t="s">
        <v>176</v>
      </c>
      <c r="D14" s="139">
        <v>1</v>
      </c>
      <c r="E14" s="139">
        <v>1</v>
      </c>
      <c r="F14" s="139">
        <v>1</v>
      </c>
      <c r="G14" s="139">
        <v>1.82</v>
      </c>
      <c r="H14" s="139">
        <v>1</v>
      </c>
    </row>
    <row r="15" spans="1:10" x14ac:dyDescent="0.25">
      <c r="B15" s="146"/>
      <c r="C15" s="35" t="s">
        <v>175</v>
      </c>
      <c r="D15" s="139">
        <v>1</v>
      </c>
      <c r="E15" s="139">
        <v>1</v>
      </c>
      <c r="F15" s="139">
        <v>1</v>
      </c>
      <c r="G15" s="139">
        <v>1.82</v>
      </c>
      <c r="H15" s="139">
        <v>1</v>
      </c>
    </row>
    <row r="16" spans="1:10" x14ac:dyDescent="0.25">
      <c r="B16" s="146"/>
      <c r="C16" s="35" t="s">
        <v>174</v>
      </c>
      <c r="D16" s="139">
        <v>1</v>
      </c>
      <c r="E16" s="139">
        <v>1</v>
      </c>
      <c r="F16" s="139">
        <v>1</v>
      </c>
      <c r="G16" s="139">
        <v>1</v>
      </c>
      <c r="H16" s="139">
        <v>1</v>
      </c>
    </row>
    <row r="17" spans="1:8" ht="13" x14ac:dyDescent="0.25">
      <c r="B17" s="101" t="s">
        <v>172</v>
      </c>
      <c r="C17" s="35" t="s">
        <v>174</v>
      </c>
      <c r="D17" s="139">
        <v>1.05</v>
      </c>
      <c r="E17" s="139">
        <v>1.05</v>
      </c>
      <c r="F17" s="139">
        <v>1.05</v>
      </c>
      <c r="G17" s="139">
        <v>1.05</v>
      </c>
      <c r="H17" s="139">
        <v>1</v>
      </c>
    </row>
    <row r="18" spans="1:8" x14ac:dyDescent="0.25">
      <c r="D18" s="137"/>
      <c r="E18" s="137"/>
      <c r="F18" s="137"/>
      <c r="G18" s="137"/>
      <c r="H18" s="137"/>
    </row>
    <row r="19" spans="1:8" ht="13" x14ac:dyDescent="0.3">
      <c r="A19" s="40" t="s">
        <v>221</v>
      </c>
      <c r="B19" s="146" t="s">
        <v>32</v>
      </c>
      <c r="C19" s="35" t="s">
        <v>176</v>
      </c>
      <c r="D19" s="139">
        <v>1</v>
      </c>
      <c r="E19" s="139">
        <v>1</v>
      </c>
      <c r="F19" s="139">
        <v>0.98</v>
      </c>
      <c r="G19" s="139">
        <v>0.98</v>
      </c>
      <c r="H19" s="139">
        <v>1</v>
      </c>
    </row>
    <row r="20" spans="1:8" x14ac:dyDescent="0.25">
      <c r="B20" s="146"/>
      <c r="C20" s="35" t="s">
        <v>175</v>
      </c>
      <c r="D20" s="139">
        <v>1</v>
      </c>
      <c r="E20" s="139">
        <v>1</v>
      </c>
      <c r="F20" s="139">
        <v>0.98</v>
      </c>
      <c r="G20" s="139">
        <v>0.98</v>
      </c>
      <c r="H20" s="139">
        <v>1</v>
      </c>
    </row>
    <row r="21" spans="1:8" x14ac:dyDescent="0.25">
      <c r="B21" s="146"/>
      <c r="C21" s="35" t="s">
        <v>174</v>
      </c>
      <c r="D21" s="139">
        <v>1</v>
      </c>
      <c r="E21" s="139">
        <v>1</v>
      </c>
      <c r="F21" s="139">
        <v>0.99</v>
      </c>
      <c r="G21" s="139">
        <v>0.99</v>
      </c>
      <c r="H21" s="139">
        <v>1</v>
      </c>
    </row>
    <row r="22" spans="1:8" x14ac:dyDescent="0.25">
      <c r="B22" s="146" t="s">
        <v>1</v>
      </c>
      <c r="C22" s="35" t="s">
        <v>176</v>
      </c>
      <c r="D22" s="139">
        <v>1</v>
      </c>
      <c r="E22" s="139">
        <v>1</v>
      </c>
      <c r="F22" s="139">
        <v>1</v>
      </c>
      <c r="G22" s="139">
        <v>1</v>
      </c>
      <c r="H22" s="139">
        <v>1</v>
      </c>
    </row>
    <row r="23" spans="1:8" x14ac:dyDescent="0.25">
      <c r="B23" s="146"/>
      <c r="C23" s="35" t="s">
        <v>175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</row>
    <row r="24" spans="1:8" x14ac:dyDescent="0.25">
      <c r="B24" s="146"/>
      <c r="C24" s="35" t="s">
        <v>174</v>
      </c>
      <c r="D24" s="139">
        <v>1</v>
      </c>
      <c r="E24" s="139">
        <v>1</v>
      </c>
      <c r="F24" s="139">
        <v>0.99</v>
      </c>
      <c r="G24" s="139">
        <v>0.99</v>
      </c>
      <c r="H24" s="139">
        <v>1</v>
      </c>
    </row>
    <row r="25" spans="1:8" x14ac:dyDescent="0.25">
      <c r="B25" s="146" t="s">
        <v>2</v>
      </c>
      <c r="C25" s="35" t="s">
        <v>176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</row>
    <row r="26" spans="1:8" x14ac:dyDescent="0.25">
      <c r="B26" s="146"/>
      <c r="C26" s="35" t="s">
        <v>175</v>
      </c>
      <c r="D26" s="139">
        <v>1</v>
      </c>
      <c r="E26" s="139">
        <v>1</v>
      </c>
      <c r="F26" s="139">
        <v>1</v>
      </c>
      <c r="G26" s="139">
        <v>1</v>
      </c>
      <c r="H26" s="139">
        <v>1</v>
      </c>
    </row>
    <row r="27" spans="1:8" x14ac:dyDescent="0.25">
      <c r="B27" s="146"/>
      <c r="C27" s="35" t="s">
        <v>174</v>
      </c>
      <c r="D27" s="139">
        <v>1</v>
      </c>
      <c r="E27" s="139">
        <v>1</v>
      </c>
      <c r="F27" s="139">
        <v>0.99</v>
      </c>
      <c r="G27" s="139">
        <v>0.99</v>
      </c>
      <c r="H27" s="139">
        <v>1</v>
      </c>
    </row>
    <row r="28" spans="1:8" x14ac:dyDescent="0.25">
      <c r="B28" s="146" t="s">
        <v>3</v>
      </c>
      <c r="C28" s="35" t="s">
        <v>176</v>
      </c>
      <c r="D28" s="139">
        <v>1</v>
      </c>
      <c r="E28" s="139">
        <v>1</v>
      </c>
      <c r="F28" s="139">
        <v>0.78</v>
      </c>
      <c r="G28" s="139">
        <v>1</v>
      </c>
      <c r="H28" s="139">
        <v>1</v>
      </c>
    </row>
    <row r="29" spans="1:8" x14ac:dyDescent="0.25">
      <c r="B29" s="146"/>
      <c r="C29" s="35" t="s">
        <v>175</v>
      </c>
      <c r="D29" s="139">
        <v>1</v>
      </c>
      <c r="E29" s="139">
        <v>1</v>
      </c>
      <c r="F29" s="139">
        <v>0.78</v>
      </c>
      <c r="G29" s="139">
        <v>1</v>
      </c>
      <c r="H29" s="139">
        <v>1</v>
      </c>
    </row>
    <row r="30" spans="1:8" x14ac:dyDescent="0.25">
      <c r="B30" s="146"/>
      <c r="C30" s="35" t="s">
        <v>174</v>
      </c>
      <c r="D30" s="139">
        <v>1</v>
      </c>
      <c r="E30" s="139">
        <v>1</v>
      </c>
      <c r="F30" s="139">
        <v>0.99</v>
      </c>
      <c r="G30" s="139">
        <v>0.99</v>
      </c>
      <c r="H30" s="139">
        <v>1</v>
      </c>
    </row>
    <row r="31" spans="1:8" x14ac:dyDescent="0.25">
      <c r="B31" s="146" t="s">
        <v>4</v>
      </c>
      <c r="C31" s="35" t="s">
        <v>176</v>
      </c>
      <c r="D31" s="139">
        <v>1</v>
      </c>
      <c r="E31" s="139">
        <v>1</v>
      </c>
      <c r="F31" s="139">
        <v>1</v>
      </c>
      <c r="G31" s="139">
        <v>0.78</v>
      </c>
      <c r="H31" s="139">
        <v>1</v>
      </c>
    </row>
    <row r="32" spans="1:8" x14ac:dyDescent="0.25">
      <c r="B32" s="146"/>
      <c r="C32" s="35" t="s">
        <v>175</v>
      </c>
      <c r="D32" s="139">
        <v>1</v>
      </c>
      <c r="E32" s="139">
        <v>1</v>
      </c>
      <c r="F32" s="139">
        <v>1</v>
      </c>
      <c r="G32" s="139">
        <v>0.78</v>
      </c>
      <c r="H32" s="139">
        <v>1</v>
      </c>
    </row>
    <row r="33" spans="1:8" x14ac:dyDescent="0.25">
      <c r="B33" s="146"/>
      <c r="C33" s="35" t="s">
        <v>174</v>
      </c>
      <c r="D33" s="139">
        <v>1</v>
      </c>
      <c r="E33" s="139">
        <v>1</v>
      </c>
      <c r="F33" s="139">
        <v>1</v>
      </c>
      <c r="G33" s="139">
        <v>0.99</v>
      </c>
      <c r="H33" s="139">
        <v>1</v>
      </c>
    </row>
    <row r="34" spans="1:8" ht="13" x14ac:dyDescent="0.25">
      <c r="B34" s="101" t="s">
        <v>172</v>
      </c>
      <c r="C34" s="35" t="s">
        <v>174</v>
      </c>
      <c r="D34" s="139">
        <v>1</v>
      </c>
      <c r="E34" s="139">
        <v>1</v>
      </c>
      <c r="F34" s="139">
        <v>0.95</v>
      </c>
      <c r="G34" s="139">
        <v>0.95</v>
      </c>
      <c r="H34" s="139">
        <v>1</v>
      </c>
    </row>
    <row r="35" spans="1:8" x14ac:dyDescent="0.25">
      <c r="D35" s="137"/>
      <c r="E35" s="137"/>
      <c r="F35" s="137"/>
      <c r="G35" s="137"/>
      <c r="H35" s="137"/>
    </row>
    <row r="36" spans="1:8" ht="13" x14ac:dyDescent="0.3">
      <c r="A36" s="102" t="s">
        <v>222</v>
      </c>
      <c r="B36" s="146" t="s">
        <v>32</v>
      </c>
      <c r="C36" s="35" t="s">
        <v>176</v>
      </c>
      <c r="D36" s="139">
        <v>1</v>
      </c>
      <c r="E36" s="139">
        <v>1</v>
      </c>
      <c r="F36" s="139">
        <v>1</v>
      </c>
      <c r="G36" s="139">
        <v>1</v>
      </c>
      <c r="H36" s="139">
        <v>1</v>
      </c>
    </row>
    <row r="37" spans="1:8" x14ac:dyDescent="0.25">
      <c r="B37" s="146"/>
      <c r="C37" s="35" t="s">
        <v>175</v>
      </c>
      <c r="D37" s="139">
        <v>1</v>
      </c>
      <c r="E37" s="139">
        <v>1</v>
      </c>
      <c r="F37" s="139">
        <v>1</v>
      </c>
      <c r="G37" s="139">
        <v>1</v>
      </c>
      <c r="H37" s="139">
        <v>1</v>
      </c>
    </row>
    <row r="38" spans="1:8" x14ac:dyDescent="0.25">
      <c r="B38" s="146"/>
      <c r="C38" s="35" t="s">
        <v>174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</row>
    <row r="39" spans="1:8" x14ac:dyDescent="0.25">
      <c r="B39" s="146" t="s">
        <v>1</v>
      </c>
      <c r="C39" s="35" t="s">
        <v>176</v>
      </c>
      <c r="D39" s="139">
        <v>1</v>
      </c>
      <c r="E39" s="139">
        <v>1</v>
      </c>
      <c r="F39" s="139">
        <v>1</v>
      </c>
      <c r="G39" s="139">
        <v>1</v>
      </c>
      <c r="H39" s="139">
        <v>1</v>
      </c>
    </row>
    <row r="40" spans="1:8" x14ac:dyDescent="0.25">
      <c r="B40" s="146"/>
      <c r="C40" s="35" t="s">
        <v>175</v>
      </c>
      <c r="D40" s="139">
        <v>1</v>
      </c>
      <c r="E40" s="139">
        <v>1</v>
      </c>
      <c r="F40" s="139">
        <v>1</v>
      </c>
      <c r="G40" s="139">
        <v>1</v>
      </c>
      <c r="H40" s="139">
        <v>1</v>
      </c>
    </row>
    <row r="41" spans="1:8" x14ac:dyDescent="0.25">
      <c r="B41" s="146"/>
      <c r="C41" s="35" t="s">
        <v>174</v>
      </c>
      <c r="D41" s="139">
        <v>1</v>
      </c>
      <c r="E41" s="139">
        <v>1</v>
      </c>
      <c r="F41" s="139">
        <v>1</v>
      </c>
      <c r="G41" s="139">
        <v>1</v>
      </c>
      <c r="H41" s="139">
        <v>1</v>
      </c>
    </row>
    <row r="42" spans="1:8" x14ac:dyDescent="0.25">
      <c r="B42" s="146" t="s">
        <v>2</v>
      </c>
      <c r="C42" s="35" t="s">
        <v>176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</row>
    <row r="43" spans="1:8" x14ac:dyDescent="0.25">
      <c r="B43" s="146"/>
      <c r="C43" s="35" t="s">
        <v>175</v>
      </c>
      <c r="D43" s="139">
        <v>1</v>
      </c>
      <c r="E43" s="139">
        <v>1</v>
      </c>
      <c r="F43" s="139">
        <v>1</v>
      </c>
      <c r="G43" s="139">
        <v>1</v>
      </c>
      <c r="H43" s="139">
        <v>1</v>
      </c>
    </row>
    <row r="44" spans="1:8" x14ac:dyDescent="0.25">
      <c r="B44" s="146"/>
      <c r="C44" s="35" t="s">
        <v>174</v>
      </c>
      <c r="D44" s="139">
        <v>1</v>
      </c>
      <c r="E44" s="139">
        <v>1</v>
      </c>
      <c r="F44" s="139">
        <v>1</v>
      </c>
      <c r="G44" s="139">
        <v>1</v>
      </c>
      <c r="H44" s="139">
        <v>1</v>
      </c>
    </row>
    <row r="45" spans="1:8" x14ac:dyDescent="0.25">
      <c r="B45" s="146" t="s">
        <v>3</v>
      </c>
      <c r="C45" s="35" t="s">
        <v>176</v>
      </c>
      <c r="D45" s="139">
        <v>1</v>
      </c>
      <c r="E45" s="139">
        <v>1</v>
      </c>
      <c r="F45" s="139">
        <v>1.82</v>
      </c>
      <c r="G45" s="139">
        <v>1</v>
      </c>
      <c r="H45" s="139">
        <v>1</v>
      </c>
    </row>
    <row r="46" spans="1:8" x14ac:dyDescent="0.25">
      <c r="B46" s="146"/>
      <c r="C46" s="35" t="s">
        <v>175</v>
      </c>
      <c r="D46" s="139">
        <v>1</v>
      </c>
      <c r="E46" s="139">
        <v>1</v>
      </c>
      <c r="F46" s="139">
        <v>1.82</v>
      </c>
      <c r="G46" s="139">
        <v>1</v>
      </c>
      <c r="H46" s="139">
        <v>1</v>
      </c>
    </row>
    <row r="47" spans="1:8" x14ac:dyDescent="0.25">
      <c r="B47" s="146"/>
      <c r="C47" s="35" t="s">
        <v>174</v>
      </c>
      <c r="D47" s="139">
        <v>1</v>
      </c>
      <c r="E47" s="139">
        <v>1</v>
      </c>
      <c r="F47" s="139">
        <v>1</v>
      </c>
      <c r="G47" s="139">
        <v>1</v>
      </c>
      <c r="H47" s="139">
        <v>1</v>
      </c>
    </row>
    <row r="48" spans="1:8" x14ac:dyDescent="0.25">
      <c r="B48" s="146" t="s">
        <v>4</v>
      </c>
      <c r="C48" s="35" t="s">
        <v>176</v>
      </c>
      <c r="D48" s="139">
        <v>1</v>
      </c>
      <c r="E48" s="139">
        <v>1</v>
      </c>
      <c r="F48" s="139">
        <v>1</v>
      </c>
      <c r="G48" s="139">
        <v>1.82</v>
      </c>
      <c r="H48" s="139">
        <v>1</v>
      </c>
    </row>
    <row r="49" spans="2:8" x14ac:dyDescent="0.25">
      <c r="B49" s="146"/>
      <c r="C49" s="35" t="s">
        <v>175</v>
      </c>
      <c r="D49" s="139">
        <v>1</v>
      </c>
      <c r="E49" s="139">
        <v>1</v>
      </c>
      <c r="F49" s="139">
        <v>1</v>
      </c>
      <c r="G49" s="139">
        <v>1.82</v>
      </c>
      <c r="H49" s="139">
        <v>1</v>
      </c>
    </row>
    <row r="50" spans="2:8" x14ac:dyDescent="0.25">
      <c r="B50" s="146"/>
      <c r="C50" s="35" t="s">
        <v>174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</row>
    <row r="51" spans="2:8" ht="13" x14ac:dyDescent="0.25">
      <c r="B51" s="103" t="s">
        <v>172</v>
      </c>
      <c r="C51" s="35" t="s">
        <v>174</v>
      </c>
      <c r="D51" s="139">
        <v>1.05</v>
      </c>
      <c r="E51" s="139">
        <v>1.05</v>
      </c>
      <c r="F51" s="139">
        <v>1.05</v>
      </c>
      <c r="G51" s="139">
        <v>1.05</v>
      </c>
      <c r="H51" s="139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1796875" defaultRowHeight="15.75" customHeight="1" x14ac:dyDescent="0.25"/>
  <cols>
    <col min="1" max="1" width="23.81640625" style="35" customWidth="1"/>
    <col min="2" max="2" width="34.1796875" style="35" customWidth="1"/>
    <col min="3" max="3" width="11.26953125" style="35" bestFit="1" customWidth="1"/>
    <col min="4" max="4" width="11.81640625" style="35" customWidth="1"/>
    <col min="5" max="6" width="15" style="35" customWidth="1"/>
    <col min="7" max="16384" width="16.1796875" style="35"/>
  </cols>
  <sheetData>
    <row r="1" spans="1:7" s="105" customFormat="1" ht="18.75" customHeight="1" x14ac:dyDescent="0.3">
      <c r="A1" s="104" t="s">
        <v>223</v>
      </c>
    </row>
    <row r="2" spans="1:7" ht="15.75" customHeight="1" x14ac:dyDescent="0.3">
      <c r="B2" s="106"/>
      <c r="C2" s="107" t="s">
        <v>26</v>
      </c>
      <c r="D2" s="108" t="s">
        <v>12</v>
      </c>
      <c r="E2" s="108" t="s">
        <v>11</v>
      </c>
      <c r="F2" s="108" t="s">
        <v>9</v>
      </c>
    </row>
    <row r="3" spans="1:7" ht="15.75" customHeight="1" x14ac:dyDescent="0.3">
      <c r="A3" s="40" t="s">
        <v>224</v>
      </c>
      <c r="B3" s="109"/>
      <c r="C3" s="110"/>
      <c r="D3" s="111"/>
      <c r="E3" s="111"/>
      <c r="F3" s="111"/>
    </row>
    <row r="4" spans="1:7" ht="15.75" customHeight="1" x14ac:dyDescent="0.25">
      <c r="B4" s="112" t="s">
        <v>75</v>
      </c>
      <c r="C4" s="140">
        <v>1</v>
      </c>
      <c r="D4" s="141">
        <v>1</v>
      </c>
      <c r="E4" s="141">
        <v>1</v>
      </c>
      <c r="F4" s="141">
        <v>1</v>
      </c>
    </row>
    <row r="5" spans="1:7" ht="15.75" customHeight="1" x14ac:dyDescent="0.25">
      <c r="B5" s="112" t="s">
        <v>76</v>
      </c>
      <c r="C5" s="140">
        <v>1</v>
      </c>
      <c r="D5" s="141">
        <v>1.41</v>
      </c>
      <c r="E5" s="141">
        <v>1.49</v>
      </c>
      <c r="F5" s="141">
        <v>3.03</v>
      </c>
    </row>
    <row r="6" spans="1:7" ht="15.75" customHeight="1" x14ac:dyDescent="0.25">
      <c r="B6" s="112" t="s">
        <v>77</v>
      </c>
      <c r="C6" s="140">
        <v>1</v>
      </c>
      <c r="D6" s="141">
        <v>1.18</v>
      </c>
      <c r="E6" s="141">
        <v>1.1000000000000001</v>
      </c>
      <c r="F6" s="141">
        <v>1.77</v>
      </c>
    </row>
    <row r="7" spans="1:7" ht="15.75" customHeight="1" x14ac:dyDescent="0.25">
      <c r="B7" s="112" t="s">
        <v>78</v>
      </c>
      <c r="C7" s="140">
        <v>1</v>
      </c>
      <c r="D7" s="141">
        <v>1</v>
      </c>
      <c r="E7" s="141">
        <v>1</v>
      </c>
      <c r="F7" s="141">
        <v>1</v>
      </c>
    </row>
    <row r="8" spans="1:7" ht="15.75" customHeight="1" x14ac:dyDescent="0.25">
      <c r="C8" s="113"/>
      <c r="D8" s="100"/>
      <c r="E8" s="100"/>
      <c r="F8" s="100"/>
    </row>
    <row r="9" spans="1:7" ht="15.75" customHeight="1" x14ac:dyDescent="0.3">
      <c r="A9" s="40" t="s">
        <v>225</v>
      </c>
      <c r="C9" s="140">
        <v>1</v>
      </c>
      <c r="D9" s="141">
        <v>1.53</v>
      </c>
      <c r="E9" s="141">
        <v>1.32</v>
      </c>
      <c r="F9" s="141">
        <v>1.53</v>
      </c>
      <c r="G9" s="114"/>
    </row>
    <row r="10" spans="1:7" ht="15.75" customHeight="1" x14ac:dyDescent="0.25">
      <c r="C10" s="113"/>
      <c r="D10" s="100"/>
      <c r="E10" s="100"/>
      <c r="F10" s="100"/>
      <c r="G10" s="114"/>
    </row>
    <row r="11" spans="1:7" s="105" customFormat="1" ht="15" customHeight="1" x14ac:dyDescent="0.3">
      <c r="A11" s="104" t="s">
        <v>226</v>
      </c>
      <c r="C11" s="115"/>
      <c r="D11" s="116"/>
      <c r="E11" s="116"/>
      <c r="F11" s="116"/>
      <c r="G11" s="117"/>
    </row>
    <row r="12" spans="1:7" ht="15.75" customHeight="1" x14ac:dyDescent="0.3">
      <c r="A12" s="40" t="s">
        <v>227</v>
      </c>
      <c r="C12" s="113"/>
      <c r="D12" s="100"/>
      <c r="E12" s="100"/>
      <c r="F12" s="100"/>
      <c r="G12" s="114"/>
    </row>
    <row r="13" spans="1:7" ht="15.75" customHeight="1" x14ac:dyDescent="0.25">
      <c r="B13" s="118" t="s">
        <v>228</v>
      </c>
      <c r="C13" s="140">
        <v>1</v>
      </c>
      <c r="D13" s="141">
        <v>5</v>
      </c>
      <c r="E13" s="141">
        <v>6.4</v>
      </c>
      <c r="F13" s="141">
        <v>46.5</v>
      </c>
      <c r="G13" s="114"/>
    </row>
    <row r="14" spans="1:7" ht="15.75" customHeight="1" x14ac:dyDescent="0.25">
      <c r="B14" s="118" t="s">
        <v>229</v>
      </c>
      <c r="C14" s="140">
        <v>1</v>
      </c>
      <c r="D14" s="141">
        <v>2.52</v>
      </c>
      <c r="E14" s="141">
        <v>1.96</v>
      </c>
      <c r="F14" s="141">
        <v>4.1900000000000004</v>
      </c>
      <c r="G14" s="114"/>
    </row>
    <row r="15" spans="1:7" ht="15.75" customHeight="1" x14ac:dyDescent="0.25">
      <c r="B15" s="118" t="s">
        <v>230</v>
      </c>
      <c r="C15" s="140">
        <v>1</v>
      </c>
      <c r="D15" s="141">
        <v>2.52</v>
      </c>
      <c r="E15" s="141">
        <v>1.96</v>
      </c>
      <c r="F15" s="141">
        <v>4.1900000000000004</v>
      </c>
      <c r="G15" s="114"/>
    </row>
    <row r="16" spans="1:7" ht="15.75" customHeight="1" x14ac:dyDescent="0.3">
      <c r="A16" s="40"/>
      <c r="B16" s="118"/>
      <c r="C16" s="119"/>
      <c r="D16" s="100"/>
      <c r="E16" s="100"/>
      <c r="F16" s="100"/>
      <c r="G16" s="114"/>
    </row>
    <row r="17" spans="1:7" ht="15.75" customHeight="1" x14ac:dyDescent="0.3">
      <c r="A17" s="40" t="s">
        <v>231</v>
      </c>
      <c r="B17" s="109"/>
      <c r="C17" s="120"/>
      <c r="D17" s="121"/>
      <c r="E17" s="121"/>
      <c r="F17" s="121"/>
      <c r="G17" s="114"/>
    </row>
    <row r="18" spans="1:7" ht="15.75" customHeight="1" x14ac:dyDescent="0.25">
      <c r="B18" s="122" t="s">
        <v>73</v>
      </c>
      <c r="C18" s="140">
        <v>1</v>
      </c>
      <c r="D18" s="141">
        <v>1</v>
      </c>
      <c r="E18" s="141">
        <v>1</v>
      </c>
      <c r="F18" s="141">
        <v>1</v>
      </c>
      <c r="G18" s="114"/>
    </row>
    <row r="19" spans="1:7" ht="15.75" customHeight="1" x14ac:dyDescent="0.25">
      <c r="B19" s="122" t="s">
        <v>7</v>
      </c>
      <c r="C19" s="140">
        <v>1</v>
      </c>
      <c r="D19" s="141">
        <v>2.0699999999999998</v>
      </c>
      <c r="E19" s="141">
        <v>8.02</v>
      </c>
      <c r="F19" s="141">
        <v>11.54</v>
      </c>
      <c r="G19" s="114"/>
    </row>
    <row r="20" spans="1:7" ht="15.75" customHeight="1" x14ac:dyDescent="0.25">
      <c r="B20" s="122" t="s">
        <v>8</v>
      </c>
      <c r="C20" s="140">
        <v>1</v>
      </c>
      <c r="D20" s="141">
        <v>2.0699999999999998</v>
      </c>
      <c r="E20" s="141">
        <v>8.02</v>
      </c>
      <c r="F20" s="141">
        <v>11.54</v>
      </c>
      <c r="G20" s="114"/>
    </row>
    <row r="21" spans="1:7" ht="15.75" customHeight="1" x14ac:dyDescent="0.25">
      <c r="B21" s="122" t="s">
        <v>10</v>
      </c>
      <c r="C21" s="140">
        <v>1</v>
      </c>
      <c r="D21" s="141">
        <v>2.0699999999999998</v>
      </c>
      <c r="E21" s="141">
        <v>8.02</v>
      </c>
      <c r="F21" s="141">
        <v>11.54</v>
      </c>
      <c r="G21" s="114"/>
    </row>
    <row r="22" spans="1:7" ht="15.75" customHeight="1" x14ac:dyDescent="0.25">
      <c r="B22" s="122" t="s">
        <v>13</v>
      </c>
      <c r="C22" s="140">
        <v>1</v>
      </c>
      <c r="D22" s="141">
        <v>1</v>
      </c>
      <c r="E22" s="141">
        <v>999.99</v>
      </c>
      <c r="F22" s="141">
        <v>999.99</v>
      </c>
    </row>
    <row r="23" spans="1:7" ht="15.75" customHeight="1" x14ac:dyDescent="0.25">
      <c r="B23" s="122" t="s">
        <v>14</v>
      </c>
      <c r="C23" s="140">
        <v>1</v>
      </c>
      <c r="D23" s="141">
        <v>1</v>
      </c>
      <c r="E23" s="141">
        <v>1</v>
      </c>
      <c r="F23" s="141">
        <v>1</v>
      </c>
    </row>
    <row r="24" spans="1:7" ht="15.75" customHeight="1" x14ac:dyDescent="0.25">
      <c r="B24" s="122" t="s">
        <v>27</v>
      </c>
      <c r="C24" s="140">
        <v>1</v>
      </c>
      <c r="D24" s="141">
        <v>1</v>
      </c>
      <c r="E24" s="141">
        <v>1</v>
      </c>
      <c r="F24" s="141">
        <v>1</v>
      </c>
    </row>
    <row r="25" spans="1:7" ht="15.75" customHeight="1" x14ac:dyDescent="0.25">
      <c r="B25" s="122" t="s">
        <v>15</v>
      </c>
      <c r="C25" s="140">
        <v>1</v>
      </c>
      <c r="D25" s="141">
        <v>1</v>
      </c>
      <c r="E25" s="141">
        <v>1</v>
      </c>
      <c r="F25" s="141">
        <v>1</v>
      </c>
    </row>
    <row r="26" spans="1:7" ht="15.75" customHeight="1" x14ac:dyDescent="0.25">
      <c r="B26" s="118"/>
    </row>
    <row r="28" spans="1:7" ht="15.75" customHeight="1" x14ac:dyDescent="0.3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265625" defaultRowHeight="12.5" x14ac:dyDescent="0.25"/>
  <cols>
    <col min="1" max="1" width="27.26953125" style="35" customWidth="1"/>
    <col min="2" max="2" width="26.81640625" style="35" customWidth="1"/>
    <col min="3" max="3" width="18.26953125" style="35" customWidth="1"/>
    <col min="4" max="8" width="14.7265625" style="35" customWidth="1"/>
    <col min="9" max="12" width="15.26953125" style="35" bestFit="1" customWidth="1"/>
    <col min="13" max="16" width="16.81640625" style="35" bestFit="1" customWidth="1"/>
    <col min="17" max="16384" width="12.7265625" style="35"/>
  </cols>
  <sheetData>
    <row r="1" spans="1:16" s="105" customFormat="1" ht="13" x14ac:dyDescent="0.3">
      <c r="A1" s="104" t="s">
        <v>232</v>
      </c>
    </row>
    <row r="2" spans="1:16" ht="13" x14ac:dyDescent="0.3">
      <c r="A2" s="123" t="s">
        <v>213</v>
      </c>
      <c r="B2" s="124" t="s">
        <v>233</v>
      </c>
      <c r="C2" s="124" t="s">
        <v>234</v>
      </c>
      <c r="D2" s="108" t="s">
        <v>1</v>
      </c>
      <c r="E2" s="108" t="s">
        <v>2</v>
      </c>
      <c r="F2" s="108" t="s">
        <v>3</v>
      </c>
      <c r="G2" s="108" t="s">
        <v>4</v>
      </c>
      <c r="H2" s="108" t="s">
        <v>5</v>
      </c>
      <c r="I2" s="125"/>
      <c r="J2" s="125"/>
      <c r="K2" s="125"/>
      <c r="L2" s="125"/>
      <c r="M2" s="125"/>
      <c r="N2" s="125"/>
      <c r="O2" s="125"/>
      <c r="P2" s="125"/>
    </row>
    <row r="3" spans="1:16" ht="13" x14ac:dyDescent="0.3">
      <c r="A3" s="40"/>
      <c r="B3" s="35" t="s">
        <v>71</v>
      </c>
      <c r="C3" s="43" t="s">
        <v>235</v>
      </c>
      <c r="D3" s="140">
        <v>1</v>
      </c>
      <c r="E3" s="140">
        <v>1</v>
      </c>
      <c r="F3" s="140">
        <v>1</v>
      </c>
      <c r="G3" s="140">
        <v>1</v>
      </c>
      <c r="H3" s="140">
        <v>1</v>
      </c>
      <c r="I3" s="123"/>
      <c r="J3" s="123"/>
      <c r="K3" s="123"/>
      <c r="L3" s="123"/>
      <c r="M3" s="123"/>
      <c r="N3" s="123"/>
      <c r="O3" s="123"/>
      <c r="P3" s="123"/>
    </row>
    <row r="4" spans="1:16" x14ac:dyDescent="0.25">
      <c r="C4" s="43" t="s">
        <v>236</v>
      </c>
      <c r="D4" s="141">
        <v>1</v>
      </c>
      <c r="E4" s="141">
        <v>1.67</v>
      </c>
      <c r="F4" s="141">
        <v>1.67</v>
      </c>
      <c r="G4" s="141">
        <v>1.67</v>
      </c>
      <c r="H4" s="141">
        <v>1.67</v>
      </c>
      <c r="I4" s="123"/>
      <c r="J4" s="123"/>
      <c r="K4" s="123"/>
      <c r="L4" s="123"/>
      <c r="M4" s="123"/>
      <c r="N4" s="123"/>
      <c r="O4" s="123"/>
      <c r="P4" s="123"/>
    </row>
    <row r="5" spans="1:16" x14ac:dyDescent="0.25">
      <c r="C5" s="43" t="s">
        <v>237</v>
      </c>
      <c r="D5" s="141">
        <v>1</v>
      </c>
      <c r="E5" s="141">
        <v>2.38</v>
      </c>
      <c r="F5" s="141">
        <v>2.38</v>
      </c>
      <c r="G5" s="141">
        <v>2.38</v>
      </c>
      <c r="H5" s="141">
        <v>2.38</v>
      </c>
      <c r="I5" s="123"/>
      <c r="J5" s="123"/>
      <c r="K5" s="123"/>
      <c r="L5" s="123"/>
      <c r="M5" s="123"/>
      <c r="N5" s="123"/>
      <c r="O5" s="123"/>
      <c r="P5" s="123"/>
    </row>
    <row r="6" spans="1:16" x14ac:dyDescent="0.25">
      <c r="C6" s="43" t="s">
        <v>238</v>
      </c>
      <c r="D6" s="141">
        <v>1</v>
      </c>
      <c r="E6" s="141">
        <v>6.33</v>
      </c>
      <c r="F6" s="141">
        <v>6.33</v>
      </c>
      <c r="G6" s="141">
        <v>6.33</v>
      </c>
      <c r="H6" s="141">
        <v>6.33</v>
      </c>
      <c r="I6" s="123"/>
      <c r="J6" s="123"/>
      <c r="K6" s="123"/>
      <c r="L6" s="123"/>
      <c r="M6" s="123"/>
      <c r="N6" s="123"/>
      <c r="O6" s="123"/>
      <c r="P6" s="123"/>
    </row>
    <row r="7" spans="1:16" x14ac:dyDescent="0.25">
      <c r="B7" s="35" t="s">
        <v>16</v>
      </c>
      <c r="C7" s="43" t="s">
        <v>235</v>
      </c>
      <c r="D7" s="140">
        <v>1</v>
      </c>
      <c r="E7" s="140">
        <v>1</v>
      </c>
      <c r="F7" s="140">
        <v>1</v>
      </c>
      <c r="G7" s="140">
        <v>1</v>
      </c>
      <c r="H7" s="140">
        <v>1</v>
      </c>
      <c r="I7" s="123"/>
      <c r="J7" s="123"/>
      <c r="K7" s="123"/>
      <c r="L7" s="123"/>
      <c r="M7" s="123"/>
      <c r="N7" s="123"/>
      <c r="O7" s="123"/>
      <c r="P7" s="123"/>
    </row>
    <row r="8" spans="1:16" x14ac:dyDescent="0.25">
      <c r="C8" s="43" t="s">
        <v>236</v>
      </c>
      <c r="D8" s="141">
        <v>1</v>
      </c>
      <c r="E8" s="141">
        <v>1.55</v>
      </c>
      <c r="F8" s="141">
        <v>1.55</v>
      </c>
      <c r="G8" s="141">
        <v>1.55</v>
      </c>
      <c r="H8" s="141">
        <v>1.55</v>
      </c>
      <c r="I8" s="123"/>
      <c r="J8" s="123"/>
      <c r="K8" s="123"/>
      <c r="L8" s="123"/>
      <c r="M8" s="123"/>
      <c r="N8" s="123"/>
      <c r="O8" s="123"/>
      <c r="P8" s="123"/>
    </row>
    <row r="9" spans="1:16" x14ac:dyDescent="0.25">
      <c r="C9" s="43" t="s">
        <v>237</v>
      </c>
      <c r="D9" s="141">
        <v>1</v>
      </c>
      <c r="E9" s="141">
        <v>2.1800000000000002</v>
      </c>
      <c r="F9" s="141">
        <v>2.1800000000000002</v>
      </c>
      <c r="G9" s="141">
        <v>2.1800000000000002</v>
      </c>
      <c r="H9" s="141">
        <v>2.1800000000000002</v>
      </c>
      <c r="I9" s="123"/>
      <c r="J9" s="123"/>
      <c r="K9" s="123"/>
      <c r="L9" s="123"/>
      <c r="M9" s="123"/>
      <c r="N9" s="123"/>
      <c r="O9" s="123"/>
      <c r="P9" s="123"/>
    </row>
    <row r="10" spans="1:16" x14ac:dyDescent="0.25">
      <c r="C10" s="43" t="s">
        <v>238</v>
      </c>
      <c r="D10" s="141">
        <v>1</v>
      </c>
      <c r="E10" s="141">
        <v>6.39</v>
      </c>
      <c r="F10" s="141">
        <v>6.39</v>
      </c>
      <c r="G10" s="141">
        <v>6.39</v>
      </c>
      <c r="H10" s="141">
        <v>6.39</v>
      </c>
      <c r="I10" s="123"/>
      <c r="J10" s="123"/>
      <c r="K10" s="123"/>
      <c r="L10" s="123"/>
      <c r="M10" s="123"/>
      <c r="N10" s="123"/>
      <c r="O10" s="123"/>
      <c r="P10" s="123"/>
    </row>
    <row r="11" spans="1:16" x14ac:dyDescent="0.25">
      <c r="B11" s="35" t="s">
        <v>18</v>
      </c>
      <c r="C11" s="43" t="s">
        <v>235</v>
      </c>
      <c r="D11" s="140">
        <v>1</v>
      </c>
      <c r="E11" s="140">
        <v>1</v>
      </c>
      <c r="F11" s="140">
        <v>1</v>
      </c>
      <c r="G11" s="140">
        <v>1</v>
      </c>
      <c r="H11" s="140">
        <v>1</v>
      </c>
      <c r="I11" s="123"/>
      <c r="J11" s="123"/>
      <c r="K11" s="123"/>
      <c r="L11" s="123"/>
      <c r="M11" s="123"/>
      <c r="N11" s="123"/>
      <c r="O11" s="123"/>
      <c r="P11" s="123"/>
    </row>
    <row r="12" spans="1:16" x14ac:dyDescent="0.25">
      <c r="C12" s="43" t="s">
        <v>236</v>
      </c>
      <c r="D12" s="141">
        <v>1</v>
      </c>
      <c r="E12" s="141">
        <v>1</v>
      </c>
      <c r="F12" s="141">
        <v>1</v>
      </c>
      <c r="G12" s="141">
        <v>1</v>
      </c>
      <c r="H12" s="141">
        <v>1</v>
      </c>
      <c r="I12" s="123"/>
      <c r="J12" s="123"/>
      <c r="K12" s="123"/>
      <c r="L12" s="123"/>
      <c r="M12" s="123"/>
      <c r="N12" s="123"/>
      <c r="O12" s="123"/>
      <c r="P12" s="123"/>
    </row>
    <row r="13" spans="1:16" x14ac:dyDescent="0.25">
      <c r="C13" s="43" t="s">
        <v>237</v>
      </c>
      <c r="D13" s="141">
        <v>1</v>
      </c>
      <c r="E13" s="141">
        <v>2.79</v>
      </c>
      <c r="F13" s="141">
        <v>2.79</v>
      </c>
      <c r="G13" s="141">
        <v>2.79</v>
      </c>
      <c r="H13" s="141">
        <v>2.79</v>
      </c>
      <c r="I13" s="123"/>
      <c r="J13" s="123"/>
      <c r="K13" s="123"/>
      <c r="L13" s="123"/>
      <c r="M13" s="123"/>
      <c r="N13" s="123"/>
      <c r="O13" s="123"/>
      <c r="P13" s="123"/>
    </row>
    <row r="14" spans="1:16" x14ac:dyDescent="0.25">
      <c r="C14" s="43" t="s">
        <v>238</v>
      </c>
      <c r="D14" s="141">
        <v>1</v>
      </c>
      <c r="E14" s="141">
        <v>6.01</v>
      </c>
      <c r="F14" s="141">
        <v>6.01</v>
      </c>
      <c r="G14" s="141">
        <v>6.01</v>
      </c>
      <c r="H14" s="141">
        <v>6.01</v>
      </c>
      <c r="I14" s="123"/>
      <c r="J14" s="123"/>
      <c r="K14" s="123"/>
      <c r="L14" s="123"/>
      <c r="M14" s="123"/>
      <c r="N14" s="123"/>
      <c r="O14" s="123"/>
      <c r="P14" s="123"/>
    </row>
    <row r="15" spans="1:16" x14ac:dyDescent="0.25">
      <c r="B15" s="35" t="s">
        <v>19</v>
      </c>
      <c r="C15" s="43" t="s">
        <v>235</v>
      </c>
      <c r="D15" s="140">
        <v>1</v>
      </c>
      <c r="E15" s="140">
        <v>1</v>
      </c>
      <c r="F15" s="140">
        <v>1</v>
      </c>
      <c r="G15" s="140">
        <v>1</v>
      </c>
      <c r="H15" s="140">
        <v>1</v>
      </c>
      <c r="I15" s="123"/>
      <c r="J15" s="123"/>
      <c r="K15" s="123"/>
      <c r="L15" s="123"/>
      <c r="M15" s="123"/>
      <c r="N15" s="123"/>
      <c r="O15" s="123"/>
      <c r="P15" s="123"/>
    </row>
    <row r="16" spans="1:16" x14ac:dyDescent="0.25">
      <c r="C16" s="43" t="s">
        <v>236</v>
      </c>
      <c r="D16" s="141">
        <v>1</v>
      </c>
      <c r="E16" s="141">
        <v>1</v>
      </c>
      <c r="F16" s="141">
        <v>1</v>
      </c>
      <c r="G16" s="141">
        <v>1</v>
      </c>
      <c r="H16" s="141">
        <v>1</v>
      </c>
      <c r="I16" s="123"/>
      <c r="J16" s="123"/>
      <c r="K16" s="123"/>
      <c r="L16" s="123"/>
      <c r="M16" s="123"/>
      <c r="N16" s="123"/>
      <c r="O16" s="123"/>
      <c r="P16" s="123"/>
    </row>
    <row r="17" spans="1:16" x14ac:dyDescent="0.25">
      <c r="C17" s="43" t="s">
        <v>237</v>
      </c>
      <c r="D17" s="141">
        <v>1</v>
      </c>
      <c r="E17" s="141">
        <v>1</v>
      </c>
      <c r="F17" s="141">
        <v>1</v>
      </c>
      <c r="G17" s="141">
        <v>1</v>
      </c>
      <c r="H17" s="141">
        <v>1</v>
      </c>
      <c r="I17" s="123"/>
      <c r="J17" s="123"/>
      <c r="K17" s="123"/>
      <c r="L17" s="123"/>
      <c r="M17" s="123"/>
      <c r="N17" s="123"/>
      <c r="O17" s="123"/>
      <c r="P17" s="123"/>
    </row>
    <row r="18" spans="1:16" ht="13.9" customHeight="1" x14ac:dyDescent="0.25">
      <c r="C18" s="43" t="s">
        <v>238</v>
      </c>
      <c r="D18" s="141">
        <v>1</v>
      </c>
      <c r="E18" s="141">
        <v>1</v>
      </c>
      <c r="F18" s="141">
        <v>1</v>
      </c>
      <c r="G18" s="141">
        <v>1</v>
      </c>
      <c r="H18" s="141">
        <v>1</v>
      </c>
      <c r="I18" s="123"/>
      <c r="J18" s="123"/>
      <c r="K18" s="123"/>
      <c r="L18" s="123"/>
      <c r="M18" s="123"/>
      <c r="N18" s="123"/>
      <c r="O18" s="123"/>
      <c r="P18" s="123"/>
    </row>
    <row r="19" spans="1:16" x14ac:dyDescent="0.25">
      <c r="B19" s="36" t="s">
        <v>17</v>
      </c>
      <c r="C19" s="43" t="s">
        <v>235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23"/>
      <c r="J19" s="123"/>
      <c r="K19" s="123"/>
      <c r="L19" s="123"/>
      <c r="M19" s="123"/>
      <c r="N19" s="123"/>
      <c r="O19" s="123"/>
      <c r="P19" s="123"/>
    </row>
    <row r="20" spans="1:16" x14ac:dyDescent="0.25">
      <c r="C20" s="43" t="s">
        <v>236</v>
      </c>
      <c r="D20" s="141">
        <v>1</v>
      </c>
      <c r="E20" s="141">
        <v>1</v>
      </c>
      <c r="F20" s="141">
        <v>1</v>
      </c>
      <c r="G20" s="141">
        <v>1</v>
      </c>
      <c r="H20" s="141">
        <v>1</v>
      </c>
      <c r="I20" s="123"/>
      <c r="J20" s="123"/>
      <c r="K20" s="123"/>
      <c r="L20" s="123"/>
      <c r="M20" s="123"/>
      <c r="N20" s="123"/>
      <c r="O20" s="123"/>
      <c r="P20" s="123"/>
    </row>
    <row r="21" spans="1:16" x14ac:dyDescent="0.25">
      <c r="C21" s="43" t="s">
        <v>237</v>
      </c>
      <c r="D21" s="141">
        <v>1</v>
      </c>
      <c r="E21" s="141">
        <v>1.86</v>
      </c>
      <c r="F21" s="141">
        <v>1.86</v>
      </c>
      <c r="G21" s="141">
        <v>1.86</v>
      </c>
      <c r="H21" s="141">
        <v>1.86</v>
      </c>
      <c r="I21" s="123"/>
      <c r="J21" s="123"/>
      <c r="K21" s="123"/>
      <c r="L21" s="123"/>
      <c r="M21" s="123"/>
      <c r="N21" s="123"/>
      <c r="O21" s="123"/>
      <c r="P21" s="123"/>
    </row>
    <row r="22" spans="1:16" x14ac:dyDescent="0.25">
      <c r="C22" s="43" t="s">
        <v>238</v>
      </c>
      <c r="D22" s="141">
        <v>1</v>
      </c>
      <c r="E22" s="141">
        <v>3.01</v>
      </c>
      <c r="F22" s="141">
        <v>3.01</v>
      </c>
      <c r="G22" s="141">
        <v>3.01</v>
      </c>
      <c r="H22" s="141">
        <v>3.01</v>
      </c>
      <c r="I22" s="123"/>
      <c r="J22" s="123"/>
      <c r="K22" s="123"/>
      <c r="L22" s="123"/>
      <c r="M22" s="123"/>
      <c r="N22" s="123"/>
      <c r="O22" s="123"/>
      <c r="P22" s="123"/>
    </row>
    <row r="23" spans="1:16" x14ac:dyDescent="0.25">
      <c r="B23" s="36" t="s">
        <v>23</v>
      </c>
      <c r="C23" s="43" t="s">
        <v>235</v>
      </c>
      <c r="D23" s="140">
        <v>1</v>
      </c>
      <c r="E23" s="140">
        <v>1</v>
      </c>
      <c r="F23" s="140">
        <v>1</v>
      </c>
      <c r="G23" s="140">
        <v>1</v>
      </c>
      <c r="H23" s="140">
        <v>1</v>
      </c>
      <c r="I23" s="123"/>
      <c r="J23" s="123"/>
      <c r="K23" s="123"/>
      <c r="L23" s="123"/>
      <c r="M23" s="123"/>
      <c r="N23" s="123"/>
      <c r="O23" s="123"/>
      <c r="P23" s="123"/>
    </row>
    <row r="24" spans="1:16" x14ac:dyDescent="0.25">
      <c r="C24" s="43" t="s">
        <v>236</v>
      </c>
      <c r="D24" s="141">
        <v>1</v>
      </c>
      <c r="E24" s="141">
        <v>1</v>
      </c>
      <c r="F24" s="141">
        <v>1</v>
      </c>
      <c r="G24" s="141">
        <v>1</v>
      </c>
      <c r="H24" s="141">
        <v>1</v>
      </c>
      <c r="I24" s="123"/>
      <c r="J24" s="123"/>
      <c r="K24" s="123"/>
      <c r="L24" s="123"/>
      <c r="M24" s="123"/>
      <c r="N24" s="123"/>
      <c r="O24" s="123"/>
      <c r="P24" s="123"/>
    </row>
    <row r="25" spans="1:16" x14ac:dyDescent="0.25">
      <c r="C25" s="43" t="s">
        <v>237</v>
      </c>
      <c r="D25" s="141">
        <v>1</v>
      </c>
      <c r="E25" s="141">
        <v>1.86</v>
      </c>
      <c r="F25" s="141">
        <v>1.86</v>
      </c>
      <c r="G25" s="141">
        <v>1.86</v>
      </c>
      <c r="H25" s="141">
        <v>1.86</v>
      </c>
      <c r="I25" s="123"/>
      <c r="J25" s="123"/>
      <c r="K25" s="123"/>
      <c r="L25" s="123"/>
      <c r="M25" s="123"/>
      <c r="N25" s="123"/>
      <c r="O25" s="123"/>
      <c r="P25" s="123"/>
    </row>
    <row r="26" spans="1:16" x14ac:dyDescent="0.25">
      <c r="C26" s="43" t="s">
        <v>238</v>
      </c>
      <c r="D26" s="141">
        <v>1</v>
      </c>
      <c r="E26" s="141">
        <v>3.01</v>
      </c>
      <c r="F26" s="141">
        <v>3.01</v>
      </c>
      <c r="G26" s="141">
        <v>3.01</v>
      </c>
      <c r="H26" s="141">
        <v>3.01</v>
      </c>
      <c r="I26" s="123"/>
      <c r="J26" s="123"/>
      <c r="K26" s="123"/>
      <c r="L26" s="123"/>
      <c r="M26" s="123"/>
      <c r="N26" s="123"/>
      <c r="O26" s="123"/>
      <c r="P26" s="123"/>
    </row>
    <row r="28" spans="1:16" s="105" customFormat="1" ht="13" x14ac:dyDescent="0.3">
      <c r="A28" s="104" t="s">
        <v>239</v>
      </c>
    </row>
    <row r="29" spans="1:16" s="36" customFormat="1" ht="13" x14ac:dyDescent="0.3">
      <c r="A29" s="126" t="s">
        <v>240</v>
      </c>
      <c r="B29" s="99" t="s">
        <v>233</v>
      </c>
      <c r="C29" s="99" t="s">
        <v>241</v>
      </c>
      <c r="D29" s="108" t="s">
        <v>1</v>
      </c>
      <c r="E29" s="108" t="s">
        <v>2</v>
      </c>
      <c r="F29" s="108" t="s">
        <v>3</v>
      </c>
      <c r="G29" s="108" t="s">
        <v>4</v>
      </c>
      <c r="H29" s="108" t="s">
        <v>5</v>
      </c>
      <c r="I29" s="125"/>
      <c r="J29" s="125"/>
      <c r="K29" s="125"/>
      <c r="L29" s="125"/>
      <c r="M29" s="125"/>
      <c r="N29" s="125"/>
      <c r="O29" s="125"/>
      <c r="P29" s="125"/>
    </row>
    <row r="30" spans="1:16" ht="13" x14ac:dyDescent="0.3">
      <c r="A30" s="40"/>
      <c r="B30" s="35" t="s">
        <v>71</v>
      </c>
      <c r="C30" s="43" t="s">
        <v>235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  <c r="I30" s="127"/>
      <c r="J30" s="123"/>
      <c r="K30" s="123"/>
      <c r="L30" s="123"/>
      <c r="M30" s="123"/>
      <c r="N30" s="123"/>
      <c r="O30" s="123"/>
      <c r="P30" s="123"/>
    </row>
    <row r="31" spans="1:16" x14ac:dyDescent="0.25">
      <c r="C31" s="43" t="s">
        <v>236</v>
      </c>
      <c r="D31" s="141">
        <v>1</v>
      </c>
      <c r="E31" s="141">
        <v>1.6</v>
      </c>
      <c r="F31" s="141">
        <v>1.6</v>
      </c>
      <c r="G31" s="141">
        <v>1.6</v>
      </c>
      <c r="H31" s="141">
        <v>1.6</v>
      </c>
      <c r="I31" s="123"/>
      <c r="J31" s="123"/>
      <c r="K31" s="123"/>
      <c r="L31" s="123"/>
      <c r="M31" s="123"/>
      <c r="N31" s="123"/>
      <c r="O31" s="123"/>
      <c r="P31" s="123"/>
    </row>
    <row r="32" spans="1:16" x14ac:dyDescent="0.25">
      <c r="C32" s="43" t="s">
        <v>65</v>
      </c>
      <c r="D32" s="141">
        <v>1</v>
      </c>
      <c r="E32" s="141">
        <v>3.41</v>
      </c>
      <c r="F32" s="141">
        <v>3.41</v>
      </c>
      <c r="G32" s="141">
        <v>3.41</v>
      </c>
      <c r="H32" s="141">
        <v>3.41</v>
      </c>
      <c r="I32" s="123"/>
      <c r="J32" s="123"/>
      <c r="K32" s="123"/>
      <c r="L32" s="123"/>
      <c r="M32" s="123"/>
      <c r="N32" s="123"/>
      <c r="O32" s="123"/>
      <c r="P32" s="123"/>
    </row>
    <row r="33" spans="2:16" x14ac:dyDescent="0.25">
      <c r="C33" s="43" t="s">
        <v>66</v>
      </c>
      <c r="D33" s="141">
        <v>1</v>
      </c>
      <c r="E33" s="141">
        <v>12.33</v>
      </c>
      <c r="F33" s="141">
        <v>12.33</v>
      </c>
      <c r="G33" s="141">
        <v>12.33</v>
      </c>
      <c r="H33" s="141">
        <v>12.33</v>
      </c>
      <c r="I33" s="123"/>
      <c r="J33" s="123"/>
      <c r="K33" s="123"/>
      <c r="L33" s="123"/>
      <c r="M33" s="123"/>
      <c r="N33" s="123"/>
      <c r="O33" s="123"/>
      <c r="P33" s="123"/>
    </row>
    <row r="34" spans="2:16" x14ac:dyDescent="0.25">
      <c r="B34" s="35" t="s">
        <v>16</v>
      </c>
      <c r="C34" s="43" t="s">
        <v>235</v>
      </c>
      <c r="D34" s="140">
        <v>1</v>
      </c>
      <c r="E34" s="140">
        <v>1</v>
      </c>
      <c r="F34" s="140">
        <v>1</v>
      </c>
      <c r="G34" s="140">
        <v>1</v>
      </c>
      <c r="H34" s="140">
        <v>1</v>
      </c>
      <c r="I34" s="123"/>
      <c r="J34" s="123"/>
      <c r="K34" s="123"/>
      <c r="L34" s="123"/>
      <c r="M34" s="123"/>
      <c r="N34" s="123"/>
      <c r="O34" s="123"/>
      <c r="P34" s="123"/>
    </row>
    <row r="35" spans="2:16" x14ac:dyDescent="0.25">
      <c r="C35" s="43" t="s">
        <v>236</v>
      </c>
      <c r="D35" s="141">
        <v>1</v>
      </c>
      <c r="E35" s="141">
        <v>1.92</v>
      </c>
      <c r="F35" s="141">
        <v>1.92</v>
      </c>
      <c r="G35" s="141">
        <v>1.92</v>
      </c>
      <c r="H35" s="141">
        <v>1.92</v>
      </c>
      <c r="I35" s="123"/>
      <c r="J35" s="123"/>
      <c r="K35" s="123"/>
      <c r="L35" s="123"/>
      <c r="M35" s="123"/>
      <c r="N35" s="123"/>
      <c r="O35" s="123"/>
      <c r="P35" s="123"/>
    </row>
    <row r="36" spans="2:16" x14ac:dyDescent="0.25">
      <c r="C36" s="43" t="s">
        <v>65</v>
      </c>
      <c r="D36" s="141">
        <v>1</v>
      </c>
      <c r="E36" s="141">
        <v>4.66</v>
      </c>
      <c r="F36" s="141">
        <v>4.66</v>
      </c>
      <c r="G36" s="141">
        <v>4.66</v>
      </c>
      <c r="H36" s="141">
        <v>4.66</v>
      </c>
      <c r="I36" s="123"/>
      <c r="J36" s="123"/>
      <c r="K36" s="123"/>
      <c r="L36" s="123"/>
      <c r="M36" s="123"/>
      <c r="N36" s="123"/>
      <c r="O36" s="123"/>
      <c r="P36" s="123"/>
    </row>
    <row r="37" spans="2:16" x14ac:dyDescent="0.25">
      <c r="C37" s="43" t="s">
        <v>66</v>
      </c>
      <c r="D37" s="141">
        <v>1</v>
      </c>
      <c r="E37" s="141">
        <v>9.68</v>
      </c>
      <c r="F37" s="141">
        <v>9.68</v>
      </c>
      <c r="G37" s="141">
        <v>9.68</v>
      </c>
      <c r="H37" s="141">
        <v>9.68</v>
      </c>
      <c r="I37" s="123"/>
      <c r="J37" s="123"/>
      <c r="K37" s="123"/>
      <c r="L37" s="123"/>
      <c r="M37" s="123"/>
      <c r="N37" s="123"/>
      <c r="O37" s="123"/>
      <c r="P37" s="123"/>
    </row>
    <row r="38" spans="2:16" x14ac:dyDescent="0.25">
      <c r="B38" s="35" t="s">
        <v>18</v>
      </c>
      <c r="C38" s="43" t="s">
        <v>235</v>
      </c>
      <c r="D38" s="140">
        <v>1</v>
      </c>
      <c r="E38" s="140">
        <v>1</v>
      </c>
      <c r="F38" s="140">
        <v>1</v>
      </c>
      <c r="G38" s="140">
        <v>1</v>
      </c>
      <c r="H38" s="140">
        <v>1</v>
      </c>
      <c r="I38" s="123"/>
      <c r="J38" s="123"/>
      <c r="K38" s="123"/>
      <c r="L38" s="123"/>
      <c r="M38" s="123"/>
      <c r="N38" s="123"/>
      <c r="O38" s="123"/>
      <c r="P38" s="123"/>
    </row>
    <row r="39" spans="2:16" x14ac:dyDescent="0.25">
      <c r="C39" s="43" t="s">
        <v>236</v>
      </c>
      <c r="D39" s="141">
        <v>1</v>
      </c>
      <c r="E39" s="141">
        <v>1</v>
      </c>
      <c r="F39" s="141">
        <v>1</v>
      </c>
      <c r="G39" s="141">
        <v>1</v>
      </c>
      <c r="H39" s="141">
        <v>1</v>
      </c>
      <c r="I39" s="123"/>
      <c r="J39" s="123"/>
      <c r="K39" s="123"/>
      <c r="L39" s="123"/>
      <c r="M39" s="123"/>
      <c r="N39" s="123"/>
      <c r="O39" s="123"/>
      <c r="P39" s="123"/>
    </row>
    <row r="40" spans="2:16" x14ac:dyDescent="0.25">
      <c r="C40" s="43" t="s">
        <v>65</v>
      </c>
      <c r="D40" s="141">
        <v>1</v>
      </c>
      <c r="E40" s="141">
        <v>2.58</v>
      </c>
      <c r="F40" s="141">
        <v>2.58</v>
      </c>
      <c r="G40" s="141">
        <v>2.58</v>
      </c>
      <c r="H40" s="141">
        <v>2.58</v>
      </c>
      <c r="I40" s="123"/>
      <c r="J40" s="123"/>
      <c r="K40" s="123"/>
      <c r="L40" s="123"/>
      <c r="M40" s="123"/>
      <c r="N40" s="123"/>
      <c r="O40" s="123"/>
      <c r="P40" s="123"/>
    </row>
    <row r="41" spans="2:16" x14ac:dyDescent="0.25">
      <c r="C41" s="43" t="s">
        <v>66</v>
      </c>
      <c r="D41" s="141">
        <v>1</v>
      </c>
      <c r="E41" s="141">
        <v>9.6300000000000008</v>
      </c>
      <c r="F41" s="141">
        <v>9.6300000000000008</v>
      </c>
      <c r="G41" s="141">
        <v>9.6300000000000008</v>
      </c>
      <c r="H41" s="141">
        <v>9.6300000000000008</v>
      </c>
      <c r="I41" s="123"/>
      <c r="J41" s="123"/>
      <c r="K41" s="123"/>
      <c r="L41" s="123"/>
      <c r="M41" s="123"/>
      <c r="N41" s="123"/>
      <c r="O41" s="123"/>
      <c r="P41" s="123"/>
    </row>
    <row r="42" spans="2:16" x14ac:dyDescent="0.25">
      <c r="B42" s="35" t="s">
        <v>19</v>
      </c>
      <c r="C42" s="43" t="s">
        <v>235</v>
      </c>
      <c r="D42" s="140">
        <v>1</v>
      </c>
      <c r="E42" s="140">
        <v>1</v>
      </c>
      <c r="F42" s="140">
        <v>1</v>
      </c>
      <c r="G42" s="140">
        <v>1</v>
      </c>
      <c r="H42" s="140">
        <v>1</v>
      </c>
      <c r="I42" s="123"/>
      <c r="J42" s="123"/>
      <c r="K42" s="123"/>
      <c r="L42" s="123"/>
      <c r="M42" s="123"/>
      <c r="N42" s="123"/>
      <c r="O42" s="123"/>
      <c r="P42" s="123"/>
    </row>
    <row r="43" spans="2:16" x14ac:dyDescent="0.25">
      <c r="C43" s="43" t="s">
        <v>236</v>
      </c>
      <c r="D43" s="141">
        <v>1</v>
      </c>
      <c r="E43" s="141">
        <v>1</v>
      </c>
      <c r="F43" s="141">
        <v>1</v>
      </c>
      <c r="G43" s="141">
        <v>1</v>
      </c>
      <c r="H43" s="141">
        <v>1</v>
      </c>
      <c r="I43" s="123"/>
      <c r="J43" s="123"/>
      <c r="K43" s="123"/>
      <c r="L43" s="123"/>
      <c r="M43" s="123"/>
      <c r="N43" s="123"/>
      <c r="O43" s="123"/>
      <c r="P43" s="123"/>
    </row>
    <row r="44" spans="2:16" x14ac:dyDescent="0.25">
      <c r="C44" s="43" t="s">
        <v>65</v>
      </c>
      <c r="D44" s="141">
        <v>1</v>
      </c>
      <c r="E44" s="141">
        <v>1</v>
      </c>
      <c r="F44" s="141">
        <v>1</v>
      </c>
      <c r="G44" s="141">
        <v>1</v>
      </c>
      <c r="H44" s="141">
        <v>1</v>
      </c>
      <c r="I44" s="123"/>
      <c r="J44" s="123"/>
      <c r="K44" s="123"/>
      <c r="L44" s="123"/>
      <c r="M44" s="123"/>
      <c r="N44" s="123"/>
      <c r="O44" s="123"/>
      <c r="P44" s="123"/>
    </row>
    <row r="45" spans="2:16" x14ac:dyDescent="0.25">
      <c r="C45" s="43" t="s">
        <v>66</v>
      </c>
      <c r="D45" s="141">
        <v>1</v>
      </c>
      <c r="E45" s="141">
        <v>1</v>
      </c>
      <c r="F45" s="141">
        <v>1</v>
      </c>
      <c r="G45" s="141">
        <v>1</v>
      </c>
      <c r="H45" s="141">
        <v>1</v>
      </c>
      <c r="I45" s="123"/>
      <c r="J45" s="123"/>
      <c r="K45" s="123"/>
      <c r="L45" s="123"/>
      <c r="M45" s="123"/>
      <c r="N45" s="123"/>
      <c r="O45" s="123"/>
      <c r="P45" s="123"/>
    </row>
    <row r="46" spans="2:16" x14ac:dyDescent="0.25">
      <c r="B46" s="35" t="s">
        <v>17</v>
      </c>
      <c r="C46" s="43" t="s">
        <v>235</v>
      </c>
      <c r="D46" s="140">
        <v>1</v>
      </c>
      <c r="E46" s="140">
        <v>1</v>
      </c>
      <c r="F46" s="140">
        <v>1</v>
      </c>
      <c r="G46" s="140">
        <v>1</v>
      </c>
      <c r="H46" s="140">
        <v>1</v>
      </c>
      <c r="I46" s="123"/>
      <c r="J46" s="123"/>
      <c r="K46" s="123"/>
      <c r="L46" s="123"/>
      <c r="M46" s="123"/>
      <c r="N46" s="123"/>
      <c r="O46" s="123"/>
      <c r="P46" s="123"/>
    </row>
    <row r="47" spans="2:16" x14ac:dyDescent="0.25">
      <c r="C47" s="43" t="s">
        <v>236</v>
      </c>
      <c r="D47" s="141">
        <v>1</v>
      </c>
      <c r="E47" s="141">
        <v>1.65</v>
      </c>
      <c r="F47" s="141">
        <v>1.65</v>
      </c>
      <c r="G47" s="141">
        <v>1.65</v>
      </c>
      <c r="H47" s="141">
        <v>1.65</v>
      </c>
      <c r="I47" s="123"/>
      <c r="J47" s="123"/>
      <c r="K47" s="123"/>
      <c r="L47" s="123"/>
      <c r="M47" s="123"/>
      <c r="N47" s="123"/>
      <c r="O47" s="123"/>
      <c r="P47" s="123"/>
    </row>
    <row r="48" spans="2:16" x14ac:dyDescent="0.25">
      <c r="C48" s="43" t="s">
        <v>65</v>
      </c>
      <c r="D48" s="141">
        <v>1</v>
      </c>
      <c r="E48" s="141">
        <v>2.73</v>
      </c>
      <c r="F48" s="141">
        <v>2.73</v>
      </c>
      <c r="G48" s="141">
        <v>2.73</v>
      </c>
      <c r="H48" s="141">
        <v>2.73</v>
      </c>
      <c r="I48" s="123"/>
      <c r="J48" s="123"/>
      <c r="K48" s="123"/>
      <c r="L48" s="123"/>
      <c r="M48" s="123"/>
      <c r="N48" s="123"/>
      <c r="O48" s="123"/>
      <c r="P48" s="123"/>
    </row>
    <row r="49" spans="1:16" x14ac:dyDescent="0.25">
      <c r="C49" s="43" t="s">
        <v>66</v>
      </c>
      <c r="D49" s="141">
        <v>1</v>
      </c>
      <c r="E49" s="141">
        <v>11.21</v>
      </c>
      <c r="F49" s="141">
        <v>11.21</v>
      </c>
      <c r="G49" s="141">
        <v>11.21</v>
      </c>
      <c r="H49" s="141">
        <v>11.21</v>
      </c>
      <c r="I49" s="123"/>
      <c r="J49" s="123"/>
      <c r="K49" s="123"/>
      <c r="L49" s="123"/>
      <c r="M49" s="123"/>
      <c r="N49" s="123"/>
      <c r="O49" s="123"/>
      <c r="P49" s="123"/>
    </row>
    <row r="50" spans="1:16" x14ac:dyDescent="0.25">
      <c r="B50" s="35" t="s">
        <v>23</v>
      </c>
      <c r="C50" s="43" t="s">
        <v>235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  <c r="I50" s="123"/>
      <c r="J50" s="123"/>
      <c r="K50" s="123"/>
      <c r="L50" s="123"/>
      <c r="M50" s="123"/>
      <c r="N50" s="123"/>
      <c r="O50" s="123"/>
      <c r="P50" s="123"/>
    </row>
    <row r="51" spans="1:16" x14ac:dyDescent="0.25">
      <c r="C51" s="43" t="s">
        <v>236</v>
      </c>
      <c r="D51" s="141">
        <v>1</v>
      </c>
      <c r="E51" s="141">
        <v>1.65</v>
      </c>
      <c r="F51" s="141">
        <v>1.65</v>
      </c>
      <c r="G51" s="141">
        <v>1.65</v>
      </c>
      <c r="H51" s="141">
        <v>1.65</v>
      </c>
      <c r="I51" s="123"/>
      <c r="J51" s="123"/>
      <c r="K51" s="123"/>
      <c r="L51" s="123"/>
      <c r="M51" s="123"/>
      <c r="N51" s="123"/>
      <c r="O51" s="123"/>
      <c r="P51" s="123"/>
    </row>
    <row r="52" spans="1:16" x14ac:dyDescent="0.25">
      <c r="C52" s="43" t="s">
        <v>65</v>
      </c>
      <c r="D52" s="141">
        <v>1</v>
      </c>
      <c r="E52" s="141">
        <v>2.73</v>
      </c>
      <c r="F52" s="141">
        <v>2.73</v>
      </c>
      <c r="G52" s="141">
        <v>2.73</v>
      </c>
      <c r="H52" s="141">
        <v>2.73</v>
      </c>
      <c r="I52" s="123"/>
      <c r="J52" s="123"/>
      <c r="K52" s="123"/>
      <c r="L52" s="123"/>
      <c r="M52" s="123"/>
      <c r="N52" s="123"/>
      <c r="O52" s="123"/>
      <c r="P52" s="123"/>
    </row>
    <row r="53" spans="1:16" x14ac:dyDescent="0.25">
      <c r="C53" s="43" t="s">
        <v>66</v>
      </c>
      <c r="D53" s="141">
        <v>1</v>
      </c>
      <c r="E53" s="141">
        <v>11.21</v>
      </c>
      <c r="F53" s="141">
        <v>11.21</v>
      </c>
      <c r="G53" s="141">
        <v>11.21</v>
      </c>
      <c r="H53" s="141">
        <v>11.21</v>
      </c>
      <c r="I53" s="123"/>
      <c r="J53" s="123"/>
      <c r="K53" s="123"/>
      <c r="L53" s="123"/>
      <c r="M53" s="123"/>
      <c r="N53" s="123"/>
      <c r="O53" s="123"/>
      <c r="P53" s="123"/>
    </row>
    <row r="54" spans="1:16" x14ac:dyDescent="0.25">
      <c r="C54" s="43"/>
      <c r="D54" s="43"/>
    </row>
    <row r="55" spans="1:16" s="105" customFormat="1" ht="13" x14ac:dyDescent="0.3">
      <c r="A55" s="104" t="s">
        <v>242</v>
      </c>
    </row>
    <row r="56" spans="1:16" s="36" customFormat="1" ht="26" x14ac:dyDescent="0.3">
      <c r="A56" s="126" t="s">
        <v>70</v>
      </c>
      <c r="B56" s="99" t="s">
        <v>233</v>
      </c>
      <c r="C56" s="128" t="s">
        <v>243</v>
      </c>
      <c r="D56" s="108" t="s">
        <v>53</v>
      </c>
      <c r="E56" s="108" t="s">
        <v>54</v>
      </c>
      <c r="F56" s="108" t="s">
        <v>55</v>
      </c>
      <c r="G56" s="108" t="s">
        <v>56</v>
      </c>
      <c r="H56" s="125"/>
      <c r="M56" s="125"/>
      <c r="N56" s="125"/>
      <c r="O56" s="125"/>
      <c r="P56" s="125"/>
    </row>
    <row r="57" spans="1:16" ht="13" x14ac:dyDescent="0.3">
      <c r="A57" s="40"/>
      <c r="B57" s="35" t="s">
        <v>38</v>
      </c>
      <c r="C57" s="43" t="s">
        <v>244</v>
      </c>
      <c r="D57" s="140">
        <v>1</v>
      </c>
      <c r="E57" s="140">
        <v>1</v>
      </c>
      <c r="F57" s="140">
        <v>1</v>
      </c>
      <c r="G57" s="140">
        <v>1</v>
      </c>
      <c r="H57" s="123"/>
      <c r="M57" s="123"/>
      <c r="N57" s="123"/>
      <c r="O57" s="123"/>
      <c r="P57" s="123"/>
    </row>
    <row r="58" spans="1:16" x14ac:dyDescent="0.25">
      <c r="C58" s="43" t="s">
        <v>245</v>
      </c>
      <c r="D58" s="141">
        <v>10.675000000000001</v>
      </c>
      <c r="E58" s="141">
        <v>10.675000000000001</v>
      </c>
      <c r="F58" s="141">
        <v>10.675000000000001</v>
      </c>
      <c r="G58" s="141">
        <v>10.675000000000001</v>
      </c>
      <c r="H58" s="123"/>
      <c r="M58" s="123"/>
      <c r="N58" s="123"/>
      <c r="O58" s="123"/>
      <c r="P58" s="123"/>
    </row>
    <row r="59" spans="1:16" x14ac:dyDescent="0.25">
      <c r="B59" s="35" t="s">
        <v>39</v>
      </c>
      <c r="C59" s="43" t="s">
        <v>244</v>
      </c>
      <c r="D59" s="140">
        <v>1</v>
      </c>
      <c r="E59" s="140">
        <v>1</v>
      </c>
      <c r="F59" s="140">
        <v>1</v>
      </c>
      <c r="G59" s="140">
        <v>1</v>
      </c>
      <c r="H59" s="123"/>
      <c r="M59" s="123"/>
      <c r="N59" s="123"/>
      <c r="O59" s="123"/>
      <c r="P59" s="123"/>
    </row>
    <row r="60" spans="1:16" x14ac:dyDescent="0.25">
      <c r="C60" s="43" t="s">
        <v>245</v>
      </c>
      <c r="D60" s="141">
        <v>10.675000000000001</v>
      </c>
      <c r="E60" s="141">
        <v>10.675000000000001</v>
      </c>
      <c r="F60" s="141">
        <v>10.675000000000001</v>
      </c>
      <c r="G60" s="141">
        <v>10.675000000000001</v>
      </c>
      <c r="H60" s="123"/>
      <c r="M60" s="123"/>
      <c r="N60" s="123"/>
      <c r="O60" s="123"/>
      <c r="P60" s="123"/>
    </row>
    <row r="61" spans="1:16" x14ac:dyDescent="0.25">
      <c r="B61" s="35" t="s">
        <v>40</v>
      </c>
      <c r="C61" s="43" t="s">
        <v>244</v>
      </c>
      <c r="D61" s="140">
        <v>1</v>
      </c>
      <c r="E61" s="140">
        <v>1</v>
      </c>
      <c r="F61" s="140">
        <v>1</v>
      </c>
      <c r="G61" s="140">
        <v>1</v>
      </c>
      <c r="H61" s="123"/>
      <c r="M61" s="123"/>
      <c r="N61" s="123"/>
      <c r="O61" s="123"/>
      <c r="P61" s="123"/>
    </row>
    <row r="62" spans="1:16" x14ac:dyDescent="0.25">
      <c r="C62" s="43" t="s">
        <v>245</v>
      </c>
      <c r="D62" s="141">
        <v>10.675000000000001</v>
      </c>
      <c r="E62" s="141">
        <v>10.675000000000001</v>
      </c>
      <c r="F62" s="141">
        <v>10.675000000000001</v>
      </c>
      <c r="G62" s="141">
        <v>10.675000000000001</v>
      </c>
      <c r="H62" s="123"/>
      <c r="M62" s="123"/>
      <c r="N62" s="123"/>
      <c r="O62" s="123"/>
      <c r="P62" s="123"/>
    </row>
    <row r="63" spans="1:16" x14ac:dyDescent="0.25">
      <c r="C63" s="43"/>
      <c r="D63" s="43"/>
    </row>
    <row r="64" spans="1:16" s="105" customFormat="1" ht="13" x14ac:dyDescent="0.3">
      <c r="A64" s="104" t="s">
        <v>246</v>
      </c>
    </row>
    <row r="65" spans="1:16" s="36" customFormat="1" ht="26" x14ac:dyDescent="0.3">
      <c r="A65" s="126" t="s">
        <v>24</v>
      </c>
      <c r="B65" s="99" t="s">
        <v>233</v>
      </c>
      <c r="C65" s="128" t="s">
        <v>247</v>
      </c>
      <c r="D65" s="108" t="s">
        <v>1</v>
      </c>
      <c r="E65" s="108" t="s">
        <v>2</v>
      </c>
      <c r="F65" s="108" t="s">
        <v>3</v>
      </c>
      <c r="G65" s="108" t="s">
        <v>4</v>
      </c>
      <c r="H65" s="129" t="s">
        <v>5</v>
      </c>
      <c r="I65" s="125"/>
      <c r="J65" s="125"/>
      <c r="K65" s="125"/>
      <c r="L65" s="125"/>
      <c r="M65" s="125"/>
      <c r="N65" s="125"/>
      <c r="O65" s="125"/>
      <c r="P65" s="125"/>
    </row>
    <row r="66" spans="1:16" ht="13" x14ac:dyDescent="0.3">
      <c r="A66" s="130"/>
      <c r="B66" s="35" t="s">
        <v>73</v>
      </c>
      <c r="C66" s="43" t="s">
        <v>166</v>
      </c>
      <c r="D66" s="140">
        <v>1</v>
      </c>
      <c r="E66" s="140">
        <v>1</v>
      </c>
      <c r="F66" s="140">
        <v>1</v>
      </c>
      <c r="G66" s="140">
        <v>1</v>
      </c>
      <c r="H66" s="123">
        <v>1</v>
      </c>
      <c r="I66" s="123"/>
      <c r="J66" s="123"/>
      <c r="K66" s="123"/>
      <c r="L66" s="123"/>
      <c r="M66" s="123"/>
      <c r="N66" s="123"/>
      <c r="O66" s="123"/>
      <c r="P66" s="123"/>
    </row>
    <row r="67" spans="1:16" x14ac:dyDescent="0.25">
      <c r="C67" s="43" t="s">
        <v>167</v>
      </c>
      <c r="D67" s="141">
        <v>1.35</v>
      </c>
      <c r="E67" s="141">
        <v>1</v>
      </c>
      <c r="F67" s="141">
        <v>1</v>
      </c>
      <c r="G67" s="141">
        <v>1</v>
      </c>
      <c r="H67" s="123">
        <v>1</v>
      </c>
      <c r="I67" s="123"/>
      <c r="J67" s="123"/>
      <c r="K67" s="123"/>
      <c r="L67" s="123"/>
      <c r="M67" s="123"/>
      <c r="N67" s="123"/>
      <c r="O67" s="123"/>
      <c r="P67" s="123"/>
    </row>
    <row r="68" spans="1:16" x14ac:dyDescent="0.25">
      <c r="C68" s="43" t="s">
        <v>168</v>
      </c>
      <c r="D68" s="141">
        <v>1.35</v>
      </c>
      <c r="E68" s="141">
        <v>1</v>
      </c>
      <c r="F68" s="141">
        <v>1</v>
      </c>
      <c r="G68" s="141">
        <v>1</v>
      </c>
      <c r="H68" s="123">
        <v>1</v>
      </c>
      <c r="I68" s="123"/>
      <c r="J68" s="123"/>
      <c r="K68" s="123"/>
      <c r="L68" s="123"/>
      <c r="M68" s="123"/>
      <c r="N68" s="123"/>
      <c r="O68" s="123"/>
      <c r="P68" s="123"/>
    </row>
    <row r="69" spans="1:16" x14ac:dyDescent="0.25">
      <c r="C69" s="43" t="s">
        <v>169</v>
      </c>
      <c r="D69" s="141">
        <v>5.4</v>
      </c>
      <c r="E69" s="141">
        <v>1</v>
      </c>
      <c r="F69" s="141">
        <v>1</v>
      </c>
      <c r="G69" s="141">
        <v>1</v>
      </c>
      <c r="H69" s="123">
        <v>1</v>
      </c>
      <c r="I69" s="123"/>
      <c r="J69" s="123"/>
      <c r="K69" s="123"/>
      <c r="L69" s="123"/>
      <c r="M69" s="123"/>
      <c r="N69" s="123"/>
      <c r="O69" s="123"/>
      <c r="P69" s="123"/>
    </row>
    <row r="70" spans="1:16" x14ac:dyDescent="0.25">
      <c r="B70" s="35" t="s">
        <v>7</v>
      </c>
      <c r="C70" s="43" t="s">
        <v>166</v>
      </c>
      <c r="D70" s="140">
        <v>1</v>
      </c>
      <c r="E70" s="140">
        <v>1</v>
      </c>
      <c r="F70" s="140">
        <v>1</v>
      </c>
      <c r="G70" s="140">
        <v>1</v>
      </c>
      <c r="H70" s="123">
        <v>1</v>
      </c>
      <c r="I70" s="123"/>
      <c r="J70" s="123"/>
      <c r="K70" s="123"/>
      <c r="L70" s="123"/>
      <c r="M70" s="123"/>
      <c r="N70" s="123"/>
      <c r="O70" s="123"/>
      <c r="P70" s="123"/>
    </row>
    <row r="71" spans="1:16" x14ac:dyDescent="0.25">
      <c r="C71" s="43" t="s">
        <v>167</v>
      </c>
      <c r="D71" s="141">
        <v>1.35</v>
      </c>
      <c r="E71" s="141">
        <v>1</v>
      </c>
      <c r="F71" s="141">
        <v>1</v>
      </c>
      <c r="G71" s="141">
        <v>1</v>
      </c>
      <c r="H71" s="123">
        <v>1</v>
      </c>
      <c r="I71" s="123"/>
      <c r="J71" s="123"/>
      <c r="K71" s="123"/>
      <c r="L71" s="123"/>
      <c r="M71" s="123"/>
      <c r="N71" s="123"/>
      <c r="O71" s="123"/>
      <c r="P71" s="123"/>
    </row>
    <row r="72" spans="1:16" x14ac:dyDescent="0.25">
      <c r="C72" s="43" t="s">
        <v>168</v>
      </c>
      <c r="D72" s="141">
        <v>1.35</v>
      </c>
      <c r="E72" s="141">
        <v>1</v>
      </c>
      <c r="F72" s="141">
        <v>1</v>
      </c>
      <c r="G72" s="141">
        <v>1</v>
      </c>
      <c r="H72" s="123">
        <v>1</v>
      </c>
      <c r="I72" s="123"/>
      <c r="J72" s="123"/>
      <c r="K72" s="123"/>
      <c r="L72" s="123"/>
      <c r="M72" s="123"/>
      <c r="N72" s="123"/>
      <c r="O72" s="123"/>
      <c r="P72" s="123"/>
    </row>
    <row r="73" spans="1:16" x14ac:dyDescent="0.25">
      <c r="C73" s="43" t="s">
        <v>169</v>
      </c>
      <c r="D73" s="141">
        <v>5.4</v>
      </c>
      <c r="E73" s="141">
        <v>1</v>
      </c>
      <c r="F73" s="141">
        <v>1</v>
      </c>
      <c r="G73" s="141">
        <v>1</v>
      </c>
      <c r="H73" s="123">
        <v>1</v>
      </c>
      <c r="I73" s="123"/>
      <c r="J73" s="123"/>
      <c r="K73" s="123"/>
      <c r="L73" s="123"/>
      <c r="M73" s="123"/>
      <c r="N73" s="123"/>
      <c r="O73" s="123"/>
      <c r="P73" s="123"/>
    </row>
    <row r="74" spans="1:16" x14ac:dyDescent="0.25">
      <c r="B74" s="35" t="s">
        <v>8</v>
      </c>
      <c r="C74" s="43" t="s">
        <v>166</v>
      </c>
      <c r="D74" s="140">
        <v>1</v>
      </c>
      <c r="E74" s="140">
        <v>1</v>
      </c>
      <c r="F74" s="140">
        <v>1</v>
      </c>
      <c r="G74" s="140">
        <v>1</v>
      </c>
      <c r="H74" s="123">
        <v>1</v>
      </c>
      <c r="I74" s="123"/>
      <c r="J74" s="123"/>
      <c r="K74" s="123"/>
      <c r="L74" s="123"/>
      <c r="M74" s="123"/>
      <c r="N74" s="123"/>
      <c r="O74" s="123"/>
      <c r="P74" s="123"/>
    </row>
    <row r="75" spans="1:16" x14ac:dyDescent="0.25">
      <c r="C75" s="43" t="s">
        <v>167</v>
      </c>
      <c r="D75" s="141">
        <v>1.35</v>
      </c>
      <c r="E75" s="141">
        <v>1</v>
      </c>
      <c r="F75" s="141">
        <v>1</v>
      </c>
      <c r="G75" s="141">
        <v>1</v>
      </c>
      <c r="H75" s="123">
        <v>1</v>
      </c>
      <c r="I75" s="123"/>
      <c r="J75" s="123"/>
      <c r="K75" s="123"/>
      <c r="L75" s="123"/>
      <c r="M75" s="123"/>
      <c r="N75" s="123"/>
      <c r="O75" s="123"/>
      <c r="P75" s="123"/>
    </row>
    <row r="76" spans="1:16" x14ac:dyDescent="0.25">
      <c r="C76" s="43" t="s">
        <v>168</v>
      </c>
      <c r="D76" s="141">
        <v>1.35</v>
      </c>
      <c r="E76" s="141">
        <v>1</v>
      </c>
      <c r="F76" s="141">
        <v>1</v>
      </c>
      <c r="G76" s="141">
        <v>1</v>
      </c>
      <c r="H76" s="123">
        <v>1</v>
      </c>
      <c r="I76" s="123"/>
      <c r="J76" s="123"/>
      <c r="K76" s="123"/>
      <c r="L76" s="123"/>
      <c r="M76" s="123"/>
      <c r="N76" s="123"/>
      <c r="O76" s="123"/>
      <c r="P76" s="123"/>
    </row>
    <row r="77" spans="1:16" x14ac:dyDescent="0.25">
      <c r="C77" s="43" t="s">
        <v>169</v>
      </c>
      <c r="D77" s="141">
        <v>5.4</v>
      </c>
      <c r="E77" s="141">
        <v>1</v>
      </c>
      <c r="F77" s="141">
        <v>1</v>
      </c>
      <c r="G77" s="141">
        <v>1</v>
      </c>
      <c r="H77" s="123">
        <v>1</v>
      </c>
      <c r="I77" s="123"/>
      <c r="J77" s="123"/>
      <c r="K77" s="123"/>
      <c r="L77" s="123"/>
      <c r="M77" s="123"/>
      <c r="N77" s="123"/>
      <c r="O77" s="123"/>
      <c r="P77" s="123"/>
    </row>
    <row r="78" spans="1:16" x14ac:dyDescent="0.25">
      <c r="B78" s="35" t="s">
        <v>13</v>
      </c>
      <c r="C78" s="43" t="s">
        <v>166</v>
      </c>
      <c r="D78" s="140">
        <v>1</v>
      </c>
      <c r="E78" s="140">
        <v>1</v>
      </c>
      <c r="F78" s="140">
        <v>1</v>
      </c>
      <c r="G78" s="140">
        <v>1</v>
      </c>
      <c r="H78" s="123">
        <v>1</v>
      </c>
      <c r="I78" s="123"/>
      <c r="J78" s="123"/>
      <c r="K78" s="123"/>
      <c r="L78" s="123"/>
      <c r="M78" s="123"/>
      <c r="N78" s="123"/>
      <c r="O78" s="123"/>
      <c r="P78" s="123"/>
    </row>
    <row r="79" spans="1:16" x14ac:dyDescent="0.25">
      <c r="C79" s="43" t="s">
        <v>167</v>
      </c>
      <c r="D79" s="141">
        <v>1</v>
      </c>
      <c r="E79" s="141">
        <v>1</v>
      </c>
      <c r="F79" s="141">
        <v>1</v>
      </c>
      <c r="G79" s="141">
        <v>1</v>
      </c>
      <c r="H79" s="123">
        <v>1</v>
      </c>
      <c r="I79" s="123"/>
      <c r="J79" s="123"/>
      <c r="K79" s="123"/>
      <c r="L79" s="123"/>
      <c r="M79" s="123"/>
      <c r="N79" s="123"/>
      <c r="O79" s="123"/>
      <c r="P79" s="123"/>
    </row>
    <row r="80" spans="1:16" x14ac:dyDescent="0.25">
      <c r="C80" s="43" t="s">
        <v>168</v>
      </c>
      <c r="D80" s="141">
        <v>1</v>
      </c>
      <c r="E80" s="141">
        <v>1</v>
      </c>
      <c r="F80" s="141">
        <v>1</v>
      </c>
      <c r="G80" s="141">
        <v>1</v>
      </c>
      <c r="H80" s="123">
        <v>1</v>
      </c>
      <c r="I80" s="123"/>
      <c r="J80" s="123"/>
      <c r="K80" s="123"/>
      <c r="L80" s="123"/>
      <c r="M80" s="123"/>
      <c r="N80" s="123"/>
      <c r="O80" s="123"/>
      <c r="P80" s="123"/>
    </row>
    <row r="81" spans="2:16" x14ac:dyDescent="0.25">
      <c r="C81" s="43" t="s">
        <v>169</v>
      </c>
      <c r="D81" s="141">
        <v>1</v>
      </c>
      <c r="E81" s="141">
        <v>1</v>
      </c>
      <c r="F81" s="141">
        <v>1</v>
      </c>
      <c r="G81" s="141">
        <v>1</v>
      </c>
      <c r="H81" s="123">
        <v>1</v>
      </c>
      <c r="I81" s="123"/>
      <c r="J81" s="123"/>
      <c r="K81" s="123"/>
      <c r="L81" s="123"/>
      <c r="M81" s="123"/>
      <c r="N81" s="123"/>
      <c r="O81" s="123"/>
      <c r="P81" s="123"/>
    </row>
    <row r="82" spans="2:16" x14ac:dyDescent="0.25">
      <c r="B82" s="35" t="s">
        <v>71</v>
      </c>
      <c r="C82" s="43" t="s">
        <v>166</v>
      </c>
      <c r="D82" s="140">
        <v>1</v>
      </c>
      <c r="E82" s="140">
        <v>1</v>
      </c>
      <c r="F82" s="140">
        <v>1</v>
      </c>
      <c r="G82" s="140">
        <v>1</v>
      </c>
      <c r="H82" s="123">
        <v>1</v>
      </c>
      <c r="I82" s="123"/>
      <c r="J82" s="123"/>
      <c r="K82" s="123"/>
      <c r="L82" s="123"/>
      <c r="M82" s="123"/>
      <c r="N82" s="123"/>
      <c r="O82" s="123"/>
      <c r="P82" s="123"/>
    </row>
    <row r="83" spans="2:16" x14ac:dyDescent="0.25">
      <c r="C83" s="43" t="s">
        <v>167</v>
      </c>
      <c r="D83" s="141">
        <v>1</v>
      </c>
      <c r="E83" s="141">
        <v>2.2799999999999998</v>
      </c>
      <c r="F83" s="141">
        <v>1</v>
      </c>
      <c r="G83" s="141">
        <v>1</v>
      </c>
      <c r="H83" s="123">
        <v>1</v>
      </c>
      <c r="I83" s="123"/>
      <c r="J83" s="123"/>
      <c r="K83" s="123"/>
      <c r="L83" s="123"/>
      <c r="M83" s="123"/>
      <c r="N83" s="123"/>
      <c r="O83" s="123"/>
      <c r="P83" s="123"/>
    </row>
    <row r="84" spans="2:16" x14ac:dyDescent="0.25">
      <c r="C84" s="43" t="s">
        <v>168</v>
      </c>
      <c r="D84" s="141">
        <v>1</v>
      </c>
      <c r="E84" s="141">
        <v>4.62</v>
      </c>
      <c r="F84" s="141">
        <v>1</v>
      </c>
      <c r="G84" s="141">
        <v>1</v>
      </c>
      <c r="H84" s="123">
        <v>1</v>
      </c>
      <c r="I84" s="123"/>
      <c r="J84" s="123"/>
      <c r="K84" s="123"/>
      <c r="L84" s="123"/>
      <c r="M84" s="123"/>
      <c r="N84" s="123"/>
      <c r="O84" s="123"/>
      <c r="P84" s="123"/>
    </row>
    <row r="85" spans="2:16" x14ac:dyDescent="0.25">
      <c r="C85" s="43" t="s">
        <v>169</v>
      </c>
      <c r="D85" s="141">
        <v>1</v>
      </c>
      <c r="E85" s="141">
        <v>10.53</v>
      </c>
      <c r="F85" s="141">
        <v>1.47</v>
      </c>
      <c r="G85" s="141">
        <v>2.57</v>
      </c>
      <c r="H85" s="123">
        <v>1</v>
      </c>
      <c r="I85" s="123"/>
      <c r="J85" s="123"/>
      <c r="K85" s="123"/>
      <c r="L85" s="123"/>
      <c r="M85" s="123"/>
      <c r="N85" s="123"/>
      <c r="O85" s="123"/>
      <c r="P85" s="123"/>
    </row>
    <row r="86" spans="2:16" x14ac:dyDescent="0.25">
      <c r="B86" s="35" t="s">
        <v>16</v>
      </c>
      <c r="C86" s="43" t="s">
        <v>166</v>
      </c>
      <c r="D86" s="140">
        <v>1</v>
      </c>
      <c r="E86" s="140">
        <v>1</v>
      </c>
      <c r="F86" s="140">
        <v>1</v>
      </c>
      <c r="G86" s="140">
        <v>1</v>
      </c>
      <c r="H86" s="123">
        <v>1</v>
      </c>
      <c r="I86" s="123"/>
      <c r="J86" s="123"/>
      <c r="K86" s="123"/>
      <c r="L86" s="123"/>
      <c r="M86" s="123"/>
      <c r="N86" s="123"/>
      <c r="O86" s="123"/>
      <c r="P86" s="123"/>
    </row>
    <row r="87" spans="2:16" x14ac:dyDescent="0.25">
      <c r="C87" s="43" t="s">
        <v>167</v>
      </c>
      <c r="D87" s="141">
        <v>1</v>
      </c>
      <c r="E87" s="141">
        <v>1.66</v>
      </c>
      <c r="F87" s="141">
        <v>1</v>
      </c>
      <c r="G87" s="141">
        <v>1</v>
      </c>
      <c r="H87" s="123">
        <v>1</v>
      </c>
      <c r="I87" s="123"/>
      <c r="J87" s="123"/>
      <c r="K87" s="123"/>
      <c r="L87" s="123"/>
      <c r="M87" s="123"/>
      <c r="N87" s="123"/>
      <c r="O87" s="123"/>
      <c r="P87" s="123"/>
    </row>
    <row r="88" spans="2:16" x14ac:dyDescent="0.25">
      <c r="C88" s="43" t="s">
        <v>168</v>
      </c>
      <c r="D88" s="141">
        <v>1</v>
      </c>
      <c r="E88" s="141">
        <v>2.5</v>
      </c>
      <c r="F88" s="141">
        <v>1</v>
      </c>
      <c r="G88" s="141">
        <v>1</v>
      </c>
      <c r="H88" s="123">
        <v>1</v>
      </c>
      <c r="I88" s="123"/>
      <c r="J88" s="123"/>
      <c r="K88" s="123"/>
      <c r="L88" s="123"/>
      <c r="M88" s="123"/>
      <c r="N88" s="123"/>
      <c r="O88" s="123"/>
      <c r="P88" s="123"/>
    </row>
    <row r="89" spans="2:16" x14ac:dyDescent="0.25">
      <c r="C89" s="43" t="s">
        <v>169</v>
      </c>
      <c r="D89" s="141">
        <v>1</v>
      </c>
      <c r="E89" s="141">
        <v>14.97</v>
      </c>
      <c r="F89" s="141">
        <v>1.92</v>
      </c>
      <c r="G89" s="141">
        <v>1.92</v>
      </c>
      <c r="H89" s="123">
        <v>1</v>
      </c>
      <c r="I89" s="123"/>
      <c r="J89" s="123"/>
      <c r="K89" s="123"/>
      <c r="L89" s="123"/>
      <c r="M89" s="123"/>
      <c r="N89" s="123"/>
      <c r="O89" s="123"/>
      <c r="P89" s="123"/>
    </row>
    <row r="90" spans="2:16" x14ac:dyDescent="0.25">
      <c r="B90" s="35" t="s">
        <v>18</v>
      </c>
      <c r="C90" s="43" t="s">
        <v>166</v>
      </c>
      <c r="D90" s="140">
        <v>1</v>
      </c>
      <c r="E90" s="140">
        <v>1</v>
      </c>
      <c r="F90" s="140">
        <v>1</v>
      </c>
      <c r="G90" s="140">
        <v>1</v>
      </c>
      <c r="H90" s="123">
        <v>1</v>
      </c>
      <c r="I90" s="123"/>
      <c r="J90" s="123"/>
      <c r="K90" s="123"/>
      <c r="L90" s="123"/>
      <c r="M90" s="123"/>
      <c r="N90" s="123"/>
      <c r="O90" s="123"/>
      <c r="P90" s="123"/>
    </row>
    <row r="91" spans="2:16" x14ac:dyDescent="0.25">
      <c r="C91" s="43" t="s">
        <v>167</v>
      </c>
      <c r="D91" s="141">
        <v>1</v>
      </c>
      <c r="E91" s="141">
        <v>1.48</v>
      </c>
      <c r="F91" s="141">
        <v>1</v>
      </c>
      <c r="G91" s="141">
        <v>1</v>
      </c>
      <c r="H91" s="123">
        <v>1</v>
      </c>
      <c r="I91" s="123"/>
      <c r="J91" s="123"/>
      <c r="K91" s="123"/>
      <c r="L91" s="123"/>
      <c r="M91" s="123"/>
      <c r="N91" s="123"/>
      <c r="O91" s="123"/>
      <c r="P91" s="123"/>
    </row>
    <row r="92" spans="2:16" x14ac:dyDescent="0.25">
      <c r="C92" s="43" t="s">
        <v>168</v>
      </c>
      <c r="D92" s="141">
        <v>1</v>
      </c>
      <c r="E92" s="141">
        <v>2.84</v>
      </c>
      <c r="F92" s="141">
        <v>1</v>
      </c>
      <c r="G92" s="141">
        <v>1</v>
      </c>
      <c r="H92" s="123">
        <v>1</v>
      </c>
      <c r="I92" s="123"/>
      <c r="J92" s="123"/>
      <c r="K92" s="123"/>
      <c r="L92" s="123"/>
      <c r="M92" s="123"/>
      <c r="N92" s="123"/>
      <c r="O92" s="123"/>
      <c r="P92" s="123"/>
    </row>
    <row r="93" spans="2:16" x14ac:dyDescent="0.25">
      <c r="C93" s="43" t="s">
        <v>169</v>
      </c>
      <c r="D93" s="141">
        <v>1</v>
      </c>
      <c r="E93" s="141">
        <v>14.4</v>
      </c>
      <c r="F93" s="141">
        <v>3.69</v>
      </c>
      <c r="G93" s="141">
        <v>3.69</v>
      </c>
      <c r="H93" s="123">
        <v>1</v>
      </c>
      <c r="I93" s="123"/>
      <c r="J93" s="123"/>
      <c r="K93" s="123"/>
      <c r="L93" s="123"/>
      <c r="M93" s="123"/>
      <c r="N93" s="123"/>
      <c r="O93" s="123"/>
      <c r="P93" s="123"/>
    </row>
    <row r="94" spans="2:16" x14ac:dyDescent="0.25">
      <c r="B94" s="35" t="s">
        <v>17</v>
      </c>
      <c r="C94" s="43" t="s">
        <v>166</v>
      </c>
      <c r="D94" s="140">
        <v>1</v>
      </c>
      <c r="E94" s="140">
        <v>1</v>
      </c>
      <c r="F94" s="140">
        <v>1</v>
      </c>
      <c r="G94" s="140">
        <v>1</v>
      </c>
      <c r="H94" s="123">
        <v>1</v>
      </c>
      <c r="I94" s="123"/>
      <c r="J94" s="123"/>
      <c r="K94" s="123"/>
      <c r="L94" s="123"/>
      <c r="M94" s="123"/>
      <c r="N94" s="123"/>
      <c r="O94" s="123"/>
      <c r="P94" s="123"/>
    </row>
    <row r="95" spans="2:16" x14ac:dyDescent="0.25">
      <c r="C95" s="43" t="s">
        <v>167</v>
      </c>
      <c r="D95" s="141">
        <v>1</v>
      </c>
      <c r="E95" s="141">
        <v>1.48</v>
      </c>
      <c r="F95" s="141">
        <v>1</v>
      </c>
      <c r="G95" s="141">
        <v>1</v>
      </c>
      <c r="H95" s="123">
        <v>1</v>
      </c>
      <c r="I95" s="123"/>
      <c r="J95" s="123"/>
      <c r="K95" s="123"/>
      <c r="L95" s="123"/>
      <c r="M95" s="123"/>
      <c r="N95" s="123"/>
      <c r="O95" s="123"/>
      <c r="P95" s="123"/>
    </row>
    <row r="96" spans="2:16" x14ac:dyDescent="0.25">
      <c r="C96" s="43" t="s">
        <v>168</v>
      </c>
      <c r="D96" s="141">
        <v>1</v>
      </c>
      <c r="E96" s="141">
        <v>2.84</v>
      </c>
      <c r="F96" s="141">
        <v>1</v>
      </c>
      <c r="G96" s="141">
        <v>1</v>
      </c>
      <c r="H96" s="123">
        <v>1</v>
      </c>
      <c r="I96" s="123"/>
      <c r="J96" s="123"/>
      <c r="K96" s="123"/>
      <c r="L96" s="123"/>
      <c r="M96" s="123"/>
      <c r="N96" s="123"/>
      <c r="O96" s="123"/>
      <c r="P96" s="123"/>
    </row>
    <row r="97" spans="1:16" x14ac:dyDescent="0.25">
      <c r="C97" s="43" t="s">
        <v>169</v>
      </c>
      <c r="D97" s="141">
        <v>1</v>
      </c>
      <c r="E97" s="141">
        <v>14.4</v>
      </c>
      <c r="F97" s="141">
        <v>3.69</v>
      </c>
      <c r="G97" s="141">
        <v>3.69</v>
      </c>
      <c r="H97" s="123">
        <v>1</v>
      </c>
      <c r="I97" s="123"/>
      <c r="J97" s="123"/>
      <c r="K97" s="123"/>
      <c r="L97" s="123"/>
      <c r="M97" s="123"/>
      <c r="N97" s="123"/>
      <c r="O97" s="123"/>
      <c r="P97" s="123"/>
    </row>
    <row r="98" spans="1:16" x14ac:dyDescent="0.25">
      <c r="B98" s="35" t="s">
        <v>20</v>
      </c>
      <c r="C98" s="43" t="s">
        <v>166</v>
      </c>
      <c r="D98" s="140">
        <v>1</v>
      </c>
      <c r="E98" s="140">
        <v>1</v>
      </c>
      <c r="F98" s="140">
        <v>1</v>
      </c>
      <c r="G98" s="140">
        <v>1</v>
      </c>
      <c r="H98" s="123">
        <v>1</v>
      </c>
      <c r="I98" s="123"/>
      <c r="J98" s="123"/>
      <c r="K98" s="123"/>
      <c r="L98" s="123"/>
      <c r="M98" s="123"/>
      <c r="N98" s="123"/>
      <c r="O98" s="123"/>
      <c r="P98" s="123"/>
    </row>
    <row r="99" spans="1:16" x14ac:dyDescent="0.25">
      <c r="C99" s="43" t="s">
        <v>167</v>
      </c>
      <c r="D99" s="141">
        <v>1</v>
      </c>
      <c r="E99" s="141">
        <v>1.48</v>
      </c>
      <c r="F99" s="141">
        <v>1</v>
      </c>
      <c r="G99" s="141">
        <v>1</v>
      </c>
      <c r="H99" s="123">
        <v>1</v>
      </c>
      <c r="I99" s="123"/>
      <c r="J99" s="123"/>
      <c r="K99" s="123"/>
      <c r="L99" s="123"/>
      <c r="M99" s="123"/>
      <c r="N99" s="123"/>
      <c r="O99" s="123"/>
      <c r="P99" s="123"/>
    </row>
    <row r="100" spans="1:16" x14ac:dyDescent="0.25">
      <c r="C100" s="43" t="s">
        <v>168</v>
      </c>
      <c r="D100" s="141">
        <v>1</v>
      </c>
      <c r="E100" s="141">
        <v>2.84</v>
      </c>
      <c r="F100" s="141">
        <v>1</v>
      </c>
      <c r="G100" s="141">
        <v>1</v>
      </c>
      <c r="H100" s="123">
        <v>1</v>
      </c>
      <c r="I100" s="123"/>
      <c r="J100" s="123"/>
      <c r="K100" s="123"/>
      <c r="L100" s="123"/>
      <c r="M100" s="123"/>
      <c r="N100" s="123"/>
      <c r="O100" s="123"/>
      <c r="P100" s="123"/>
    </row>
    <row r="101" spans="1:16" x14ac:dyDescent="0.25">
      <c r="C101" s="43" t="s">
        <v>169</v>
      </c>
      <c r="D101" s="141">
        <v>1</v>
      </c>
      <c r="E101" s="141">
        <v>14.4</v>
      </c>
      <c r="F101" s="141">
        <v>3.69</v>
      </c>
      <c r="G101" s="141">
        <v>3.69</v>
      </c>
      <c r="H101" s="123">
        <v>1</v>
      </c>
      <c r="I101" s="123"/>
      <c r="J101" s="123"/>
      <c r="K101" s="123"/>
      <c r="L101" s="123"/>
      <c r="M101" s="123"/>
      <c r="N101" s="123"/>
      <c r="O101" s="123"/>
      <c r="P101" s="123"/>
    </row>
    <row r="103" spans="1:16" s="105" customFormat="1" ht="13" x14ac:dyDescent="0.3">
      <c r="A103" s="104" t="s">
        <v>248</v>
      </c>
    </row>
    <row r="104" spans="1:16" s="36" customFormat="1" ht="26" x14ac:dyDescent="0.3">
      <c r="A104" s="126" t="s">
        <v>71</v>
      </c>
      <c r="B104" s="131" t="s">
        <v>169</v>
      </c>
      <c r="C104" s="128" t="s">
        <v>247</v>
      </c>
      <c r="D104" s="108" t="s">
        <v>1</v>
      </c>
      <c r="E104" s="108" t="s">
        <v>2</v>
      </c>
      <c r="F104" s="108" t="s">
        <v>3</v>
      </c>
      <c r="G104" s="108" t="s">
        <v>4</v>
      </c>
      <c r="H104" s="129" t="s">
        <v>5</v>
      </c>
      <c r="I104" s="125"/>
      <c r="J104" s="125"/>
      <c r="K104" s="125"/>
      <c r="L104" s="125"/>
      <c r="M104" s="125"/>
      <c r="N104" s="125"/>
      <c r="O104" s="125"/>
      <c r="P104" s="125"/>
    </row>
    <row r="105" spans="1:16" ht="13" x14ac:dyDescent="0.3">
      <c r="A105" s="40"/>
      <c r="B105" s="36"/>
      <c r="C105" s="43" t="s">
        <v>166</v>
      </c>
      <c r="D105" s="140">
        <v>1</v>
      </c>
      <c r="E105" s="140">
        <v>1</v>
      </c>
      <c r="F105" s="140">
        <v>1</v>
      </c>
      <c r="G105" s="140">
        <v>1</v>
      </c>
      <c r="H105" s="123">
        <v>1</v>
      </c>
      <c r="I105" s="123"/>
      <c r="J105" s="123"/>
      <c r="K105" s="123"/>
      <c r="L105" s="123"/>
      <c r="M105" s="123"/>
      <c r="N105" s="123"/>
      <c r="O105" s="123"/>
      <c r="P105" s="123"/>
    </row>
    <row r="106" spans="1:16" x14ac:dyDescent="0.25">
      <c r="C106" s="43" t="s">
        <v>167</v>
      </c>
      <c r="D106" s="141">
        <v>1.26</v>
      </c>
      <c r="E106" s="141">
        <v>1.26</v>
      </c>
      <c r="F106" s="141">
        <v>1</v>
      </c>
      <c r="G106" s="141">
        <v>1</v>
      </c>
      <c r="H106" s="123">
        <v>1</v>
      </c>
      <c r="I106" s="123"/>
      <c r="J106" s="123"/>
      <c r="K106" s="123"/>
      <c r="L106" s="123"/>
      <c r="M106" s="123"/>
      <c r="N106" s="123"/>
      <c r="O106" s="123"/>
      <c r="P106" s="123"/>
    </row>
    <row r="107" spans="1:16" x14ac:dyDescent="0.25">
      <c r="C107" s="43" t="s">
        <v>168</v>
      </c>
      <c r="D107" s="141">
        <v>1.68</v>
      </c>
      <c r="E107" s="141">
        <v>1.68</v>
      </c>
      <c r="F107" s="141">
        <v>1</v>
      </c>
      <c r="G107" s="141">
        <v>1</v>
      </c>
      <c r="H107" s="123">
        <v>1</v>
      </c>
      <c r="I107" s="123"/>
      <c r="J107" s="123"/>
      <c r="K107" s="123"/>
      <c r="L107" s="123"/>
      <c r="M107" s="123"/>
      <c r="N107" s="123"/>
      <c r="O107" s="123"/>
      <c r="P107" s="123"/>
    </row>
    <row r="108" spans="1:16" x14ac:dyDescent="0.25">
      <c r="C108" s="43" t="s">
        <v>169</v>
      </c>
      <c r="D108" s="141">
        <v>2.65</v>
      </c>
      <c r="E108" s="141">
        <v>2.65</v>
      </c>
      <c r="F108" s="141">
        <v>2.0699999999999998</v>
      </c>
      <c r="G108" s="141">
        <v>2.0699999999999998</v>
      </c>
      <c r="H108" s="123">
        <v>1</v>
      </c>
      <c r="I108" s="123"/>
      <c r="J108" s="123"/>
      <c r="K108" s="123"/>
      <c r="L108" s="123"/>
      <c r="M108" s="123"/>
      <c r="N108" s="123"/>
      <c r="O108" s="123"/>
      <c r="P108" s="123"/>
    </row>
    <row r="111" spans="1:16" ht="13" x14ac:dyDescent="0.3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D3" sqref="D3"/>
    </sheetView>
  </sheetViews>
  <sheetFormatPr defaultColWidth="12.7265625" defaultRowHeight="12.5" x14ac:dyDescent="0.25"/>
  <cols>
    <col min="1" max="1" width="25.7265625" style="35" customWidth="1"/>
    <col min="2" max="2" width="44.453125" style="35" customWidth="1"/>
    <col min="3" max="3" width="17.7265625" style="35" customWidth="1"/>
    <col min="4" max="4" width="17.54296875" style="35" customWidth="1"/>
    <col min="5" max="5" width="17.26953125" style="35" customWidth="1"/>
    <col min="6" max="6" width="15" style="35" customWidth="1"/>
    <col min="7" max="7" width="13.7265625" style="35" customWidth="1"/>
    <col min="8" max="16384" width="12.7265625" style="35"/>
  </cols>
  <sheetData>
    <row r="1" spans="1:7" s="105" customFormat="1" ht="14.25" customHeight="1" x14ac:dyDescent="0.3">
      <c r="A1" s="104" t="s">
        <v>249</v>
      </c>
    </row>
    <row r="2" spans="1:7" ht="14.25" customHeight="1" x14ac:dyDescent="0.3">
      <c r="A2" s="130" t="s">
        <v>25</v>
      </c>
      <c r="B2" s="124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8" t="s">
        <v>250</v>
      </c>
      <c r="C3" s="141" t="s">
        <v>251</v>
      </c>
      <c r="D3" s="141">
        <v>45</v>
      </c>
      <c r="E3" s="141">
        <v>361.6</v>
      </c>
      <c r="F3" s="141">
        <v>174.7</v>
      </c>
      <c r="G3" s="141">
        <v>174.7</v>
      </c>
    </row>
    <row r="4" spans="1:7" ht="14.25" customHeight="1" x14ac:dyDescent="0.3">
      <c r="A4" s="40"/>
      <c r="B4" s="122" t="s">
        <v>252</v>
      </c>
      <c r="C4" s="141">
        <v>1.0249999999999999</v>
      </c>
      <c r="D4" s="141">
        <v>1.0249999999999999</v>
      </c>
      <c r="E4" s="141">
        <v>1.0249999999999999</v>
      </c>
      <c r="F4" s="141">
        <v>1.0249999999999999</v>
      </c>
      <c r="G4" s="141">
        <v>1.0249999999999999</v>
      </c>
    </row>
    <row r="5" spans="1:7" ht="14.25" customHeight="1" x14ac:dyDescent="0.3">
      <c r="A5" s="109" t="s">
        <v>253</v>
      </c>
    </row>
    <row r="6" spans="1:7" ht="14.25" customHeight="1" x14ac:dyDescent="0.25">
      <c r="B6" s="122" t="s">
        <v>58</v>
      </c>
      <c r="C6" s="141">
        <v>1</v>
      </c>
      <c r="D6" s="141">
        <v>1</v>
      </c>
      <c r="E6" s="141">
        <v>0.89</v>
      </c>
      <c r="F6" s="141">
        <v>0.89</v>
      </c>
      <c r="G6" s="141">
        <v>1</v>
      </c>
    </row>
    <row r="7" spans="1:7" ht="14.25" customHeight="1" x14ac:dyDescent="0.25">
      <c r="B7" s="122" t="s">
        <v>136</v>
      </c>
      <c r="C7" s="141">
        <v>1</v>
      </c>
      <c r="D7" s="141">
        <v>1</v>
      </c>
      <c r="E7" s="141">
        <v>0.89</v>
      </c>
      <c r="F7" s="141">
        <v>0.89</v>
      </c>
      <c r="G7" s="141">
        <v>1</v>
      </c>
    </row>
    <row r="8" spans="1:7" ht="14.25" customHeight="1" x14ac:dyDescent="0.25">
      <c r="B8" s="122" t="s">
        <v>60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</row>
    <row r="9" spans="1:7" ht="14.25" customHeight="1" x14ac:dyDescent="0.25">
      <c r="B9" s="122"/>
      <c r="C9" s="122"/>
      <c r="D9" s="122"/>
      <c r="E9" s="122"/>
      <c r="F9" s="122"/>
      <c r="G9" s="122"/>
    </row>
    <row r="10" spans="1:7" s="105" customFormat="1" ht="14.25" customHeight="1" x14ac:dyDescent="0.3">
      <c r="A10" s="104" t="s">
        <v>254</v>
      </c>
    </row>
    <row r="11" spans="1:7" ht="14.25" customHeight="1" x14ac:dyDescent="0.3">
      <c r="A11" s="109"/>
      <c r="B11" s="118" t="s">
        <v>196</v>
      </c>
      <c r="C11" s="141">
        <v>1.5</v>
      </c>
      <c r="D11" s="141">
        <v>1.39</v>
      </c>
      <c r="E11" s="141">
        <v>1</v>
      </c>
      <c r="F11" s="141">
        <v>1</v>
      </c>
      <c r="G11" s="141">
        <v>1</v>
      </c>
    </row>
    <row r="12" spans="1:7" ht="14.25" customHeight="1" x14ac:dyDescent="0.3">
      <c r="A12" s="109"/>
      <c r="B12" s="118"/>
    </row>
    <row r="13" spans="1:7" s="105" customFormat="1" ht="14.25" customHeight="1" x14ac:dyDescent="0.3">
      <c r="A13" s="104" t="s">
        <v>255</v>
      </c>
    </row>
    <row r="14" spans="1:7" ht="14.25" customHeight="1" x14ac:dyDescent="0.3">
      <c r="A14" s="130" t="s">
        <v>240</v>
      </c>
      <c r="B14" s="122" t="s">
        <v>256</v>
      </c>
      <c r="C14" s="141">
        <v>1.0249999999999999</v>
      </c>
      <c r="D14" s="141">
        <v>1.0249999999999999</v>
      </c>
      <c r="E14" s="141">
        <v>1.0249999999999999</v>
      </c>
      <c r="F14" s="141">
        <v>1.0249999999999999</v>
      </c>
      <c r="G14" s="141">
        <v>1.0249999999999999</v>
      </c>
    </row>
    <row r="15" spans="1:7" ht="14.25" customHeight="1" x14ac:dyDescent="0.3">
      <c r="A15" s="40"/>
      <c r="B15" s="122" t="s">
        <v>257</v>
      </c>
      <c r="C15" s="141">
        <v>1.0249999999999999</v>
      </c>
      <c r="D15" s="141">
        <v>1.0249999999999999</v>
      </c>
      <c r="E15" s="141">
        <v>1.0249999999999999</v>
      </c>
      <c r="F15" s="141">
        <v>1.0249999999999999</v>
      </c>
      <c r="G15" s="141">
        <v>1.0249999999999999</v>
      </c>
    </row>
    <row r="16" spans="1:7" ht="14.25" customHeight="1" x14ac:dyDescent="0.3">
      <c r="A16" s="130" t="s">
        <v>70</v>
      </c>
      <c r="B16" s="118" t="s">
        <v>258</v>
      </c>
      <c r="C16" s="141">
        <v>1</v>
      </c>
      <c r="D16" s="141">
        <v>1</v>
      </c>
      <c r="E16" s="141">
        <v>1</v>
      </c>
      <c r="F16" s="141">
        <v>1</v>
      </c>
      <c r="G16" s="141">
        <v>1</v>
      </c>
    </row>
    <row r="17" spans="1:6" ht="14.25" customHeight="1" x14ac:dyDescent="0.25"/>
    <row r="18" spans="1:6" s="105" customFormat="1" ht="14.25" customHeight="1" x14ac:dyDescent="0.3">
      <c r="A18" s="104" t="s">
        <v>259</v>
      </c>
    </row>
    <row r="19" spans="1:6" s="109" customFormat="1" ht="14.25" customHeight="1" x14ac:dyDescent="0.3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8" t="s">
        <v>198</v>
      </c>
      <c r="C20" s="141">
        <v>1.52</v>
      </c>
      <c r="D20" s="141">
        <v>1</v>
      </c>
      <c r="E20" s="141">
        <v>1</v>
      </c>
      <c r="F20" s="14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E6" sqref="C6:E6"/>
    </sheetView>
  </sheetViews>
  <sheetFormatPr defaultColWidth="16.1796875" defaultRowHeight="15.75" customHeight="1" x14ac:dyDescent="0.25"/>
  <cols>
    <col min="1" max="1" width="52.26953125" style="35" customWidth="1"/>
    <col min="2" max="6" width="16.1796875" style="35"/>
    <col min="7" max="7" width="17.26953125" style="35" customWidth="1"/>
    <col min="8" max="8" width="16.1796875" style="35" customWidth="1"/>
    <col min="9" max="16384" width="16.1796875" style="35"/>
  </cols>
  <sheetData>
    <row r="1" spans="1:6" ht="15.75" customHeight="1" x14ac:dyDescent="0.3">
      <c r="A1" s="124" t="s">
        <v>69</v>
      </c>
      <c r="B1" s="40"/>
      <c r="C1" s="40" t="s">
        <v>9</v>
      </c>
      <c r="D1" s="40" t="s">
        <v>12</v>
      </c>
      <c r="E1" s="40" t="s">
        <v>11</v>
      </c>
      <c r="F1" s="124" t="s">
        <v>26</v>
      </c>
    </row>
    <row r="2" spans="1:6" ht="15.75" customHeight="1" x14ac:dyDescent="0.25">
      <c r="A2" s="95" t="s">
        <v>29</v>
      </c>
      <c r="B2" s="95" t="s">
        <v>260</v>
      </c>
      <c r="C2" s="141">
        <v>0.21</v>
      </c>
      <c r="D2" s="141">
        <v>0.21</v>
      </c>
      <c r="E2" s="141">
        <v>0</v>
      </c>
      <c r="F2" s="141">
        <v>0</v>
      </c>
    </row>
    <row r="3" spans="1:6" ht="15.75" customHeight="1" x14ac:dyDescent="0.25">
      <c r="A3" s="95"/>
      <c r="B3" s="95" t="s">
        <v>261</v>
      </c>
      <c r="C3" s="141">
        <v>1</v>
      </c>
      <c r="D3" s="141">
        <v>1</v>
      </c>
      <c r="E3" s="141">
        <v>1</v>
      </c>
      <c r="F3" s="141">
        <v>1</v>
      </c>
    </row>
    <row r="4" spans="1:6" ht="15.75" customHeight="1" x14ac:dyDescent="0.25">
      <c r="A4" s="95" t="s">
        <v>187</v>
      </c>
      <c r="B4" s="95" t="s">
        <v>260</v>
      </c>
      <c r="C4" s="141">
        <v>0</v>
      </c>
      <c r="D4" s="141">
        <v>0</v>
      </c>
      <c r="E4" s="141">
        <v>0</v>
      </c>
      <c r="F4" s="141">
        <v>0</v>
      </c>
    </row>
    <row r="5" spans="1:6" ht="15.75" customHeight="1" x14ac:dyDescent="0.25">
      <c r="A5" s="95"/>
      <c r="B5" s="95" t="s">
        <v>261</v>
      </c>
      <c r="C5" s="141">
        <v>1</v>
      </c>
      <c r="D5" s="141">
        <v>1</v>
      </c>
      <c r="E5" s="141">
        <v>1</v>
      </c>
      <c r="F5" s="141">
        <v>1</v>
      </c>
    </row>
    <row r="6" spans="1:6" ht="15.75" customHeight="1" x14ac:dyDescent="0.25">
      <c r="A6" s="95" t="s">
        <v>209</v>
      </c>
      <c r="B6" s="95" t="s">
        <v>260</v>
      </c>
      <c r="C6" s="141">
        <v>0</v>
      </c>
      <c r="D6" s="141">
        <v>0</v>
      </c>
      <c r="E6" s="141">
        <v>0</v>
      </c>
      <c r="F6" s="141">
        <v>0</v>
      </c>
    </row>
    <row r="7" spans="1:6" ht="15.75" customHeight="1" x14ac:dyDescent="0.25">
      <c r="A7" s="95"/>
      <c r="B7" s="95" t="s">
        <v>261</v>
      </c>
      <c r="C7" s="141">
        <v>1</v>
      </c>
      <c r="D7" s="141">
        <v>1</v>
      </c>
      <c r="E7" s="141">
        <v>1</v>
      </c>
      <c r="F7" s="141">
        <v>1</v>
      </c>
    </row>
    <row r="8" spans="1:6" ht="15.75" customHeight="1" x14ac:dyDescent="0.25">
      <c r="A8" s="95" t="s">
        <v>57</v>
      </c>
      <c r="B8" s="95" t="s">
        <v>260</v>
      </c>
      <c r="C8" s="141">
        <v>0.35</v>
      </c>
      <c r="D8" s="141">
        <v>0.35</v>
      </c>
      <c r="E8" s="141">
        <v>0</v>
      </c>
      <c r="F8" s="141">
        <v>0</v>
      </c>
    </row>
    <row r="9" spans="1:6" ht="15.75" customHeight="1" x14ac:dyDescent="0.25">
      <c r="A9" s="95"/>
      <c r="B9" s="95" t="s">
        <v>261</v>
      </c>
      <c r="C9" s="141">
        <v>1</v>
      </c>
      <c r="D9" s="141">
        <v>1</v>
      </c>
      <c r="E9" s="141">
        <v>0</v>
      </c>
      <c r="F9" s="141">
        <v>0</v>
      </c>
    </row>
    <row r="10" spans="1:6" ht="15.75" customHeight="1" x14ac:dyDescent="0.25">
      <c r="A10" s="95" t="s">
        <v>34</v>
      </c>
      <c r="B10" s="95" t="s">
        <v>260</v>
      </c>
      <c r="C10" s="141">
        <v>0.35</v>
      </c>
      <c r="D10" s="141">
        <v>0.35</v>
      </c>
      <c r="E10" s="141">
        <v>0</v>
      </c>
      <c r="F10" s="141">
        <v>0</v>
      </c>
    </row>
    <row r="11" spans="1:6" ht="15.75" customHeight="1" x14ac:dyDescent="0.25">
      <c r="A11" s="95"/>
      <c r="B11" s="95" t="s">
        <v>261</v>
      </c>
      <c r="C11" s="141">
        <v>1</v>
      </c>
      <c r="D11" s="141">
        <v>1</v>
      </c>
      <c r="E11" s="141">
        <v>0</v>
      </c>
      <c r="F11" s="141">
        <v>0</v>
      </c>
    </row>
    <row r="12" spans="1:6" ht="15.75" customHeight="1" x14ac:dyDescent="0.25">
      <c r="A12" s="95" t="s">
        <v>59</v>
      </c>
      <c r="B12" s="95" t="s">
        <v>260</v>
      </c>
      <c r="C12" s="141">
        <v>0.08</v>
      </c>
      <c r="D12" s="141">
        <v>0.08</v>
      </c>
      <c r="E12" s="141">
        <v>0</v>
      </c>
      <c r="F12" s="141">
        <v>0</v>
      </c>
    </row>
    <row r="13" spans="1:6" ht="15.75" customHeight="1" x14ac:dyDescent="0.25">
      <c r="A13" s="95"/>
      <c r="B13" s="95" t="s">
        <v>261</v>
      </c>
      <c r="C13" s="141">
        <v>1</v>
      </c>
      <c r="D13" s="141">
        <v>1</v>
      </c>
      <c r="E13" s="141">
        <v>1</v>
      </c>
      <c r="F13" s="141">
        <v>1</v>
      </c>
    </row>
    <row r="19" spans="1:1" ht="15.75" customHeight="1" x14ac:dyDescent="0.25">
      <c r="A19" s="95"/>
    </row>
    <row r="20" spans="1:1" ht="15.75" customHeight="1" x14ac:dyDescent="0.25">
      <c r="A20" s="95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H1" workbookViewId="0">
      <selection activeCell="E19" sqref="E19:O20"/>
    </sheetView>
  </sheetViews>
  <sheetFormatPr defaultColWidth="12.7265625" defaultRowHeight="12.5" x14ac:dyDescent="0.25"/>
  <cols>
    <col min="1" max="1" width="22.54296875" style="35" customWidth="1"/>
    <col min="2" max="2" width="58.81640625" style="35" bestFit="1" customWidth="1"/>
    <col min="3" max="15" width="15" style="35" customWidth="1"/>
    <col min="16" max="16384" width="12.7265625" style="35"/>
  </cols>
  <sheetData>
    <row r="1" spans="1:15" ht="35.25" customHeight="1" x14ac:dyDescent="0.3">
      <c r="A1" s="40"/>
      <c r="B1" s="40"/>
      <c r="C1" s="108" t="s">
        <v>1</v>
      </c>
      <c r="D1" s="108" t="s">
        <v>2</v>
      </c>
      <c r="E1" s="108" t="s">
        <v>3</v>
      </c>
      <c r="F1" s="108" t="s">
        <v>4</v>
      </c>
      <c r="G1" s="108" t="s">
        <v>5</v>
      </c>
      <c r="H1" s="108" t="s">
        <v>49</v>
      </c>
      <c r="I1" s="108" t="s">
        <v>50</v>
      </c>
      <c r="J1" s="108" t="s">
        <v>51</v>
      </c>
      <c r="K1" s="108" t="s">
        <v>52</v>
      </c>
      <c r="L1" s="108" t="s">
        <v>53</v>
      </c>
      <c r="M1" s="108" t="s">
        <v>54</v>
      </c>
      <c r="N1" s="108" t="s">
        <v>55</v>
      </c>
      <c r="O1" s="108" t="s">
        <v>56</v>
      </c>
    </row>
    <row r="2" spans="1:15" ht="13" x14ac:dyDescent="0.3">
      <c r="A2" s="40" t="s">
        <v>262</v>
      </c>
    </row>
    <row r="3" spans="1:15" x14ac:dyDescent="0.25">
      <c r="B3" s="63" t="s">
        <v>149</v>
      </c>
      <c r="C3" s="141">
        <v>0.53</v>
      </c>
      <c r="D3" s="141">
        <v>0.53</v>
      </c>
      <c r="E3" s="141">
        <v>1</v>
      </c>
      <c r="F3" s="141">
        <v>1</v>
      </c>
      <c r="G3" s="141">
        <v>1</v>
      </c>
      <c r="H3" s="141">
        <v>1</v>
      </c>
      <c r="I3" s="141">
        <v>1</v>
      </c>
      <c r="J3" s="141">
        <v>1</v>
      </c>
      <c r="K3" s="141">
        <v>1</v>
      </c>
      <c r="L3" s="141">
        <v>1</v>
      </c>
      <c r="M3" s="141">
        <v>1</v>
      </c>
      <c r="N3" s="141">
        <v>1</v>
      </c>
      <c r="O3" s="141">
        <v>1</v>
      </c>
    </row>
    <row r="4" spans="1:15" x14ac:dyDescent="0.25">
      <c r="B4" s="63" t="s">
        <v>188</v>
      </c>
      <c r="C4" s="141">
        <v>1</v>
      </c>
      <c r="D4" s="141">
        <v>1</v>
      </c>
      <c r="E4" s="141">
        <v>1</v>
      </c>
      <c r="F4" s="141">
        <v>1</v>
      </c>
      <c r="G4" s="141">
        <v>1</v>
      </c>
      <c r="H4" s="141">
        <v>0.73</v>
      </c>
      <c r="I4" s="141">
        <v>0.73</v>
      </c>
      <c r="J4" s="141">
        <v>0.73</v>
      </c>
      <c r="K4" s="141">
        <v>0.73</v>
      </c>
      <c r="L4" s="141">
        <v>1</v>
      </c>
      <c r="M4" s="141">
        <v>1</v>
      </c>
      <c r="N4" s="141">
        <v>1</v>
      </c>
      <c r="O4" s="141">
        <v>1</v>
      </c>
    </row>
    <row r="5" spans="1:15" x14ac:dyDescent="0.25">
      <c r="B5" s="63" t="s">
        <v>208</v>
      </c>
      <c r="C5" s="141">
        <v>1</v>
      </c>
      <c r="D5" s="141">
        <v>1</v>
      </c>
      <c r="E5" s="141">
        <v>1</v>
      </c>
      <c r="F5" s="141">
        <v>1</v>
      </c>
      <c r="G5" s="141">
        <v>1</v>
      </c>
      <c r="H5" s="141">
        <v>0.73</v>
      </c>
      <c r="I5" s="141">
        <v>0.73</v>
      </c>
      <c r="J5" s="141">
        <v>0.73</v>
      </c>
      <c r="K5" s="141">
        <v>0.73</v>
      </c>
      <c r="L5" s="141">
        <v>1</v>
      </c>
      <c r="M5" s="141">
        <v>1</v>
      </c>
      <c r="N5" s="141">
        <v>1</v>
      </c>
      <c r="O5" s="141">
        <v>1</v>
      </c>
    </row>
    <row r="6" spans="1:15" x14ac:dyDescent="0.25">
      <c r="B6" s="63" t="s">
        <v>189</v>
      </c>
      <c r="C6" s="141">
        <v>1</v>
      </c>
      <c r="D6" s="141">
        <v>1</v>
      </c>
      <c r="E6" s="141">
        <v>1</v>
      </c>
      <c r="F6" s="141">
        <v>1</v>
      </c>
      <c r="G6" s="141">
        <v>1</v>
      </c>
      <c r="H6" s="141">
        <v>0.73</v>
      </c>
      <c r="I6" s="141">
        <v>0.73</v>
      </c>
      <c r="J6" s="141">
        <v>0.73</v>
      </c>
      <c r="K6" s="141">
        <v>0.73</v>
      </c>
      <c r="L6" s="141">
        <v>1</v>
      </c>
      <c r="M6" s="141">
        <v>1</v>
      </c>
      <c r="N6" s="141">
        <v>1</v>
      </c>
      <c r="O6" s="141">
        <v>1</v>
      </c>
    </row>
    <row r="7" spans="1:15" x14ac:dyDescent="0.25">
      <c r="B7" s="63" t="s">
        <v>190</v>
      </c>
      <c r="C7" s="141">
        <v>1</v>
      </c>
      <c r="D7" s="141">
        <v>1</v>
      </c>
      <c r="E7" s="141">
        <v>1</v>
      </c>
      <c r="F7" s="141">
        <v>1</v>
      </c>
      <c r="G7" s="141">
        <v>1</v>
      </c>
      <c r="H7" s="141">
        <v>0.73</v>
      </c>
      <c r="I7" s="141">
        <v>0.73</v>
      </c>
      <c r="J7" s="141">
        <v>0.73</v>
      </c>
      <c r="K7" s="141">
        <v>0.73</v>
      </c>
      <c r="L7" s="141">
        <v>1</v>
      </c>
      <c r="M7" s="141">
        <v>1</v>
      </c>
      <c r="N7" s="141">
        <v>1</v>
      </c>
      <c r="O7" s="141">
        <v>1</v>
      </c>
    </row>
    <row r="8" spans="1:15" x14ac:dyDescent="0.25">
      <c r="B8" s="95" t="s">
        <v>187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  <c r="H8" s="141">
        <v>1</v>
      </c>
      <c r="I8" s="141">
        <v>1</v>
      </c>
      <c r="J8" s="141">
        <v>1</v>
      </c>
      <c r="K8" s="141">
        <v>1</v>
      </c>
      <c r="L8" s="141">
        <v>0.33</v>
      </c>
      <c r="M8" s="141">
        <v>0.33</v>
      </c>
      <c r="N8" s="141">
        <v>0.33</v>
      </c>
      <c r="O8" s="141">
        <v>0.33</v>
      </c>
    </row>
    <row r="9" spans="1:15" x14ac:dyDescent="0.25">
      <c r="B9" s="95" t="s">
        <v>209</v>
      </c>
      <c r="C9" s="141">
        <v>1</v>
      </c>
      <c r="D9" s="141">
        <v>1</v>
      </c>
      <c r="E9" s="141">
        <v>1</v>
      </c>
      <c r="F9" s="141">
        <v>1</v>
      </c>
      <c r="G9" s="141">
        <v>1</v>
      </c>
      <c r="H9" s="141">
        <v>1</v>
      </c>
      <c r="I9" s="141">
        <v>1</v>
      </c>
      <c r="J9" s="141">
        <v>1</v>
      </c>
      <c r="K9" s="141">
        <v>1</v>
      </c>
      <c r="L9" s="141">
        <v>0.33</v>
      </c>
      <c r="M9" s="141">
        <v>0.33</v>
      </c>
      <c r="N9" s="141">
        <v>0.33</v>
      </c>
      <c r="O9" s="141">
        <v>0.33</v>
      </c>
    </row>
    <row r="10" spans="1:15" x14ac:dyDescent="0.25">
      <c r="B10" s="63" t="s">
        <v>57</v>
      </c>
      <c r="C10" s="141">
        <v>1</v>
      </c>
      <c r="D10" s="141">
        <v>1</v>
      </c>
      <c r="E10" s="141">
        <v>1</v>
      </c>
      <c r="F10" s="141">
        <v>1</v>
      </c>
      <c r="G10" s="141">
        <v>1</v>
      </c>
      <c r="H10" s="141">
        <v>1</v>
      </c>
      <c r="I10" s="141">
        <v>1</v>
      </c>
      <c r="J10" s="141">
        <v>1</v>
      </c>
      <c r="K10" s="141">
        <v>1</v>
      </c>
      <c r="L10" s="141">
        <v>0.83</v>
      </c>
      <c r="M10" s="141">
        <v>0.83</v>
      </c>
      <c r="N10" s="141">
        <v>0.83</v>
      </c>
      <c r="O10" s="141">
        <v>0.83</v>
      </c>
    </row>
    <row r="11" spans="1:15" x14ac:dyDescent="0.25">
      <c r="B11" s="95" t="s">
        <v>136</v>
      </c>
      <c r="C11" s="141">
        <v>1</v>
      </c>
      <c r="D11" s="141">
        <v>1</v>
      </c>
      <c r="E11" s="141">
        <v>0.69</v>
      </c>
      <c r="F11" s="141">
        <v>0.69</v>
      </c>
      <c r="G11" s="141">
        <v>1</v>
      </c>
      <c r="H11" s="141">
        <v>1</v>
      </c>
      <c r="I11" s="141">
        <v>1</v>
      </c>
      <c r="J11" s="141">
        <v>1</v>
      </c>
      <c r="K11" s="141">
        <v>1</v>
      </c>
      <c r="L11" s="141">
        <v>1</v>
      </c>
      <c r="M11" s="141">
        <v>1</v>
      </c>
      <c r="N11" s="141">
        <v>1</v>
      </c>
      <c r="O11" s="141">
        <v>1</v>
      </c>
    </row>
    <row r="12" spans="1:15" x14ac:dyDescent="0.25">
      <c r="B12" s="63" t="s">
        <v>34</v>
      </c>
      <c r="C12" s="141">
        <v>0.83</v>
      </c>
      <c r="D12" s="141">
        <v>0.83</v>
      </c>
      <c r="E12" s="141">
        <v>0.83</v>
      </c>
      <c r="F12" s="141">
        <v>0.83</v>
      </c>
      <c r="G12" s="141">
        <v>0.83</v>
      </c>
      <c r="H12" s="141">
        <v>0.83</v>
      </c>
      <c r="I12" s="141">
        <v>0.83</v>
      </c>
      <c r="J12" s="141">
        <v>0.83</v>
      </c>
      <c r="K12" s="141">
        <v>0.83</v>
      </c>
      <c r="L12" s="141">
        <v>0.83</v>
      </c>
      <c r="M12" s="141">
        <v>0.83</v>
      </c>
      <c r="N12" s="141">
        <v>0.83</v>
      </c>
      <c r="O12" s="141">
        <v>0.83</v>
      </c>
    </row>
    <row r="13" spans="1:15" ht="13.15" customHeight="1" x14ac:dyDescent="0.25">
      <c r="B13" s="63" t="s">
        <v>137</v>
      </c>
      <c r="C13" s="141">
        <v>1</v>
      </c>
      <c r="D13" s="141">
        <v>1</v>
      </c>
      <c r="E13" s="141">
        <v>0.69</v>
      </c>
      <c r="F13" s="141">
        <v>0.69</v>
      </c>
      <c r="G13" s="141">
        <v>0.69</v>
      </c>
      <c r="H13" s="141">
        <v>1</v>
      </c>
      <c r="I13" s="141">
        <v>1</v>
      </c>
      <c r="J13" s="141">
        <v>1</v>
      </c>
      <c r="K13" s="141">
        <v>1</v>
      </c>
      <c r="L13" s="141">
        <v>1</v>
      </c>
      <c r="M13" s="141">
        <v>1</v>
      </c>
      <c r="N13" s="141">
        <v>1</v>
      </c>
      <c r="O13" s="141">
        <v>1</v>
      </c>
    </row>
    <row r="14" spans="1:15" x14ac:dyDescent="0.25">
      <c r="B14" s="63" t="s">
        <v>59</v>
      </c>
      <c r="C14" s="141">
        <v>1</v>
      </c>
      <c r="D14" s="141">
        <v>1</v>
      </c>
      <c r="E14" s="141">
        <v>1</v>
      </c>
      <c r="F14" s="141">
        <v>1</v>
      </c>
      <c r="G14" s="141">
        <v>1</v>
      </c>
      <c r="H14" s="141">
        <v>1</v>
      </c>
      <c r="I14" s="141">
        <v>1</v>
      </c>
      <c r="J14" s="141">
        <v>1</v>
      </c>
      <c r="K14" s="141">
        <v>1</v>
      </c>
      <c r="L14" s="141">
        <v>0.33</v>
      </c>
      <c r="M14" s="141">
        <v>0.33</v>
      </c>
      <c r="N14" s="141">
        <v>0.33</v>
      </c>
      <c r="O14" s="141">
        <v>0.33</v>
      </c>
    </row>
    <row r="16" spans="1:15" ht="13" x14ac:dyDescent="0.3">
      <c r="A16" s="40" t="s">
        <v>263</v>
      </c>
      <c r="B16" s="63"/>
    </row>
    <row r="17" spans="2:15" x14ac:dyDescent="0.25">
      <c r="B17" s="95" t="s">
        <v>63</v>
      </c>
      <c r="C17" s="141">
        <v>1</v>
      </c>
      <c r="D17" s="141">
        <v>1</v>
      </c>
      <c r="E17" s="141">
        <v>0.97599999999999998</v>
      </c>
      <c r="F17" s="141">
        <v>0.97599999999999998</v>
      </c>
      <c r="G17" s="141">
        <v>0.97599999999999998</v>
      </c>
      <c r="H17" s="141">
        <v>0.97599999999999998</v>
      </c>
      <c r="I17" s="141">
        <v>0.97599999999999998</v>
      </c>
      <c r="J17" s="141">
        <v>0.97599999999999998</v>
      </c>
      <c r="K17" s="141">
        <v>0.97599999999999998</v>
      </c>
      <c r="L17" s="141">
        <v>0.97599999999999998</v>
      </c>
      <c r="M17" s="141">
        <v>0.97599999999999998</v>
      </c>
      <c r="N17" s="141">
        <v>0.97599999999999998</v>
      </c>
      <c r="O17" s="141">
        <v>0.97599999999999998</v>
      </c>
    </row>
    <row r="18" spans="2:15" x14ac:dyDescent="0.25">
      <c r="B18" s="95" t="s">
        <v>64</v>
      </c>
      <c r="C18" s="141">
        <v>1</v>
      </c>
      <c r="D18" s="141">
        <v>1</v>
      </c>
      <c r="E18" s="141">
        <v>0.97599999999999998</v>
      </c>
      <c r="F18" s="141">
        <v>0.97599999999999998</v>
      </c>
      <c r="G18" s="141">
        <v>0.97599999999999998</v>
      </c>
      <c r="H18" s="141">
        <v>0.97599999999999998</v>
      </c>
      <c r="I18" s="141">
        <v>0.97599999999999998</v>
      </c>
      <c r="J18" s="141">
        <v>0.97599999999999998</v>
      </c>
      <c r="K18" s="141">
        <v>0.97599999999999998</v>
      </c>
      <c r="L18" s="141">
        <v>0.97599999999999998</v>
      </c>
      <c r="M18" s="141">
        <v>0.97599999999999998</v>
      </c>
      <c r="N18" s="141">
        <v>0.97599999999999998</v>
      </c>
      <c r="O18" s="141">
        <v>0.97599999999999998</v>
      </c>
    </row>
    <row r="19" spans="2:15" x14ac:dyDescent="0.25">
      <c r="B19" s="95" t="s">
        <v>62</v>
      </c>
      <c r="C19" s="141">
        <v>1</v>
      </c>
      <c r="D19" s="141">
        <v>1</v>
      </c>
      <c r="E19" s="141">
        <v>0.97599999999999998</v>
      </c>
      <c r="F19" s="141">
        <v>0.97599999999999998</v>
      </c>
      <c r="G19" s="141">
        <v>0.97599999999999998</v>
      </c>
      <c r="H19" s="141">
        <v>0.97599999999999998</v>
      </c>
      <c r="I19" s="141">
        <v>0.97599999999999998</v>
      </c>
      <c r="J19" s="141">
        <v>0.97599999999999998</v>
      </c>
      <c r="K19" s="141">
        <v>0.97599999999999998</v>
      </c>
      <c r="L19" s="141">
        <v>0.97599999999999998</v>
      </c>
      <c r="M19" s="141">
        <v>0.97599999999999998</v>
      </c>
      <c r="N19" s="141">
        <v>0.97599999999999998</v>
      </c>
      <c r="O19" s="141">
        <v>0.97599999999999998</v>
      </c>
    </row>
    <row r="20" spans="2:15" x14ac:dyDescent="0.25">
      <c r="B20" s="95" t="s">
        <v>47</v>
      </c>
      <c r="C20" s="141">
        <v>1</v>
      </c>
      <c r="D20" s="141">
        <v>1</v>
      </c>
      <c r="E20" s="141">
        <v>0.97599999999999998</v>
      </c>
      <c r="F20" s="141">
        <v>0.97599999999999998</v>
      </c>
      <c r="G20" s="141">
        <v>0.97599999999999998</v>
      </c>
      <c r="H20" s="141">
        <v>0.97599999999999998</v>
      </c>
      <c r="I20" s="141">
        <v>0.97599999999999998</v>
      </c>
      <c r="J20" s="141">
        <v>0.97599999999999998</v>
      </c>
      <c r="K20" s="141">
        <v>0.97599999999999998</v>
      </c>
      <c r="L20" s="141">
        <v>0.97599999999999998</v>
      </c>
      <c r="M20" s="141">
        <v>0.97599999999999998</v>
      </c>
      <c r="N20" s="141">
        <v>0.97599999999999998</v>
      </c>
      <c r="O20" s="141">
        <v>0.97599999999999998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D5" sqref="D5:G5"/>
    </sheetView>
  </sheetViews>
  <sheetFormatPr defaultColWidth="12.7265625" defaultRowHeight="12.5" x14ac:dyDescent="0.25"/>
  <cols>
    <col min="1" max="1" width="21.26953125" style="35" customWidth="1"/>
    <col min="2" max="2" width="27.26953125" style="35" customWidth="1"/>
    <col min="3" max="7" width="15.54296875" style="35" customWidth="1"/>
    <col min="8" max="16384" width="12.7265625" style="35"/>
  </cols>
  <sheetData>
    <row r="1" spans="1:7" ht="13" x14ac:dyDescent="0.3">
      <c r="A1" s="40"/>
      <c r="B1" s="124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ht="13" x14ac:dyDescent="0.3">
      <c r="A2" s="40" t="s">
        <v>264</v>
      </c>
    </row>
    <row r="3" spans="1:7" x14ac:dyDescent="0.25">
      <c r="B3" s="63" t="s">
        <v>67</v>
      </c>
      <c r="C3" s="141">
        <v>1</v>
      </c>
      <c r="D3" s="141">
        <v>0.22</v>
      </c>
      <c r="E3" s="141">
        <v>0.22</v>
      </c>
      <c r="F3" s="141">
        <v>0.22</v>
      </c>
      <c r="G3" s="141">
        <v>0.22</v>
      </c>
    </row>
    <row r="4" spans="1:7" ht="13" x14ac:dyDescent="0.3">
      <c r="A4" s="40" t="s">
        <v>265</v>
      </c>
      <c r="B4" s="63"/>
      <c r="C4" s="132"/>
      <c r="D4" s="132"/>
      <c r="E4" s="132"/>
      <c r="F4" s="132"/>
      <c r="G4" s="132"/>
    </row>
    <row r="5" spans="1:7" x14ac:dyDescent="0.25">
      <c r="B5" s="95" t="s">
        <v>183</v>
      </c>
      <c r="C5" s="141">
        <v>1</v>
      </c>
      <c r="D5" s="141">
        <v>0.16</v>
      </c>
      <c r="E5" s="141">
        <v>0.16</v>
      </c>
      <c r="F5" s="141">
        <v>0.16</v>
      </c>
      <c r="G5" s="141">
        <v>0.16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49"/>
  <sheetViews>
    <sheetView topLeftCell="C11" zoomScale="111" workbookViewId="0">
      <selection activeCell="E43" sqref="E43"/>
    </sheetView>
  </sheetViews>
  <sheetFormatPr defaultColWidth="12.7265625" defaultRowHeight="12.5" x14ac:dyDescent="0.25"/>
  <cols>
    <col min="1" max="1" width="53" style="52" customWidth="1"/>
    <col min="2" max="2" width="30.54296875" style="52" customWidth="1"/>
    <col min="3" max="3" width="24.7265625" style="52" customWidth="1"/>
    <col min="4" max="4" width="15" style="35" customWidth="1"/>
    <col min="5" max="5" width="13.7265625" style="35" customWidth="1"/>
    <col min="6" max="6" width="14.453125" style="35" customWidth="1"/>
    <col min="7" max="7" width="12.7265625" style="35"/>
    <col min="8" max="8" width="17.54296875" style="35" customWidth="1"/>
    <col min="9" max="16384" width="12.7265625" style="35"/>
  </cols>
  <sheetData>
    <row r="1" spans="1:9" ht="13" x14ac:dyDescent="0.3">
      <c r="A1" s="40" t="s">
        <v>69</v>
      </c>
      <c r="B1" s="40" t="s">
        <v>266</v>
      </c>
      <c r="C1" s="130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1">
        <v>0</v>
      </c>
      <c r="E2" s="141">
        <v>0</v>
      </c>
      <c r="F2" s="141">
        <v>0.33500000000000002</v>
      </c>
      <c r="G2" s="141">
        <v>0.33500000000000002</v>
      </c>
      <c r="H2" s="141">
        <v>0.33500000000000002</v>
      </c>
    </row>
    <row r="3" spans="1:9" x14ac:dyDescent="0.25">
      <c r="C3" s="52" t="s">
        <v>269</v>
      </c>
      <c r="D3" s="141">
        <v>0</v>
      </c>
      <c r="E3" s="141">
        <v>0</v>
      </c>
      <c r="F3" s="141">
        <v>0.36</v>
      </c>
      <c r="G3" s="141">
        <v>0.36</v>
      </c>
      <c r="H3" s="141">
        <v>0.36</v>
      </c>
    </row>
    <row r="4" spans="1:9" x14ac:dyDescent="0.25">
      <c r="C4" s="52" t="s">
        <v>270</v>
      </c>
      <c r="D4" s="141">
        <v>0</v>
      </c>
      <c r="E4" s="141">
        <v>0</v>
      </c>
      <c r="F4" s="141">
        <v>0.45</v>
      </c>
      <c r="G4" s="141">
        <v>0.45</v>
      </c>
      <c r="H4" s="141">
        <v>0.45</v>
      </c>
    </row>
    <row r="5" spans="1:9" x14ac:dyDescent="0.25">
      <c r="A5" s="52" t="s">
        <v>58</v>
      </c>
      <c r="B5" s="52" t="s">
        <v>66</v>
      </c>
      <c r="C5" s="52" t="s">
        <v>268</v>
      </c>
      <c r="D5" s="141">
        <v>0</v>
      </c>
      <c r="E5" s="141">
        <v>0</v>
      </c>
      <c r="F5" s="141">
        <v>0.33500000000000002</v>
      </c>
      <c r="G5" s="141">
        <v>0.33500000000000002</v>
      </c>
      <c r="H5" s="141">
        <v>0.33500000000000002</v>
      </c>
    </row>
    <row r="6" spans="1:9" x14ac:dyDescent="0.25">
      <c r="C6" s="52" t="s">
        <v>270</v>
      </c>
      <c r="D6" s="141">
        <v>0</v>
      </c>
      <c r="E6" s="141">
        <v>0</v>
      </c>
      <c r="F6" s="141">
        <v>0.25970149253731345</v>
      </c>
      <c r="G6" s="141">
        <v>0.25970149253731345</v>
      </c>
      <c r="H6" s="141">
        <v>0</v>
      </c>
    </row>
    <row r="7" spans="1:9" x14ac:dyDescent="0.25">
      <c r="B7" s="52" t="s">
        <v>65</v>
      </c>
      <c r="C7" s="52" t="s">
        <v>268</v>
      </c>
      <c r="D7" s="141">
        <v>0</v>
      </c>
      <c r="E7" s="141">
        <v>0</v>
      </c>
      <c r="F7" s="141">
        <v>0.33500000000000002</v>
      </c>
      <c r="G7" s="141">
        <v>0.33500000000000002</v>
      </c>
      <c r="H7" s="141">
        <v>0.33500000000000002</v>
      </c>
    </row>
    <row r="8" spans="1:9" x14ac:dyDescent="0.25">
      <c r="C8" s="52" t="s">
        <v>270</v>
      </c>
      <c r="D8" s="141">
        <v>0</v>
      </c>
      <c r="E8" s="141">
        <v>0</v>
      </c>
      <c r="F8" s="141">
        <v>0.25970149253731345</v>
      </c>
      <c r="G8" s="141">
        <v>0.25970149253731345</v>
      </c>
      <c r="H8" s="141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1">
        <v>0</v>
      </c>
      <c r="E9" s="141">
        <v>0</v>
      </c>
      <c r="F9" s="141">
        <v>0.33500000000000002</v>
      </c>
      <c r="G9" s="141">
        <v>0.33500000000000002</v>
      </c>
      <c r="H9" s="141">
        <v>0.33500000000000002</v>
      </c>
    </row>
    <row r="10" spans="1:9" x14ac:dyDescent="0.25">
      <c r="C10" s="52" t="s">
        <v>270</v>
      </c>
      <c r="D10" s="141">
        <v>0</v>
      </c>
      <c r="E10" s="141">
        <v>0</v>
      </c>
      <c r="F10" s="141">
        <v>0.25970149253731345</v>
      </c>
      <c r="G10" s="141">
        <v>0.25970149253731345</v>
      </c>
      <c r="H10" s="141">
        <v>0</v>
      </c>
    </row>
    <row r="11" spans="1:9" x14ac:dyDescent="0.25">
      <c r="B11" s="52" t="s">
        <v>65</v>
      </c>
      <c r="C11" s="52" t="s">
        <v>268</v>
      </c>
      <c r="D11" s="141">
        <v>0</v>
      </c>
      <c r="E11" s="141">
        <v>0</v>
      </c>
      <c r="F11" s="141">
        <v>0.33500000000000002</v>
      </c>
      <c r="G11" s="141">
        <v>0.33500000000000002</v>
      </c>
      <c r="H11" s="141">
        <v>0.33500000000000002</v>
      </c>
    </row>
    <row r="12" spans="1:9" x14ac:dyDescent="0.25">
      <c r="C12" s="52" t="s">
        <v>270</v>
      </c>
      <c r="D12" s="141">
        <v>0</v>
      </c>
      <c r="E12" s="141">
        <v>0</v>
      </c>
      <c r="F12" s="141">
        <v>0.25970149253731345</v>
      </c>
      <c r="G12" s="141">
        <v>0.25970149253731345</v>
      </c>
      <c r="H12" s="141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1">
        <v>0</v>
      </c>
      <c r="E13" s="141">
        <v>0</v>
      </c>
      <c r="F13" s="141">
        <v>0.8</v>
      </c>
      <c r="G13" s="141">
        <v>0.8</v>
      </c>
      <c r="H13" s="141">
        <v>0.8</v>
      </c>
    </row>
    <row r="14" spans="1:9" x14ac:dyDescent="0.25">
      <c r="C14" s="52" t="s">
        <v>270</v>
      </c>
      <c r="D14" s="141">
        <v>0</v>
      </c>
      <c r="E14" s="141">
        <v>0</v>
      </c>
      <c r="F14" s="141">
        <v>0.85</v>
      </c>
      <c r="G14" s="141">
        <v>0.85</v>
      </c>
      <c r="H14" s="141">
        <v>0.85</v>
      </c>
      <c r="I14" s="36"/>
    </row>
    <row r="15" spans="1:9" x14ac:dyDescent="0.25">
      <c r="B15" s="52" t="s">
        <v>65</v>
      </c>
      <c r="C15" s="52" t="s">
        <v>268</v>
      </c>
      <c r="D15" s="141">
        <v>0</v>
      </c>
      <c r="E15" s="141">
        <v>0</v>
      </c>
      <c r="F15" s="141">
        <v>0.8</v>
      </c>
      <c r="G15" s="141">
        <v>0.8</v>
      </c>
      <c r="H15" s="141">
        <v>0.8</v>
      </c>
      <c r="I15" s="36"/>
    </row>
    <row r="16" spans="1:9" x14ac:dyDescent="0.25">
      <c r="C16" s="52" t="s">
        <v>270</v>
      </c>
      <c r="D16" s="141">
        <v>0</v>
      </c>
      <c r="E16" s="141">
        <v>0</v>
      </c>
      <c r="F16" s="141">
        <v>0.75</v>
      </c>
      <c r="G16" s="141">
        <v>0.75</v>
      </c>
      <c r="H16" s="141">
        <v>0.75</v>
      </c>
      <c r="I16" s="36"/>
    </row>
    <row r="17" spans="1:9" x14ac:dyDescent="0.25">
      <c r="A17" s="52" t="s">
        <v>62</v>
      </c>
      <c r="B17" s="52" t="s">
        <v>27</v>
      </c>
      <c r="C17" s="52" t="s">
        <v>268</v>
      </c>
      <c r="D17" s="141">
        <v>0.7</v>
      </c>
      <c r="E17" s="141">
        <v>0</v>
      </c>
      <c r="F17" s="141">
        <v>0</v>
      </c>
      <c r="G17" s="141">
        <v>0</v>
      </c>
      <c r="H17" s="141">
        <v>0</v>
      </c>
      <c r="I17" s="36"/>
    </row>
    <row r="18" spans="1:9" x14ac:dyDescent="0.25">
      <c r="C18" s="52" t="s">
        <v>269</v>
      </c>
      <c r="D18" s="141">
        <v>0.19</v>
      </c>
      <c r="E18" s="141">
        <v>0</v>
      </c>
      <c r="F18" s="141">
        <v>0</v>
      </c>
      <c r="G18" s="141">
        <v>0</v>
      </c>
      <c r="H18" s="141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268</v>
      </c>
      <c r="D19" s="141">
        <v>0.7</v>
      </c>
      <c r="E19" s="141">
        <v>0</v>
      </c>
      <c r="F19" s="141">
        <v>0</v>
      </c>
      <c r="G19" s="141">
        <v>0</v>
      </c>
      <c r="H19" s="141">
        <v>0</v>
      </c>
    </row>
    <row r="20" spans="1:9" x14ac:dyDescent="0.25">
      <c r="C20" s="52" t="s">
        <v>269</v>
      </c>
      <c r="D20" s="141">
        <v>0.19</v>
      </c>
      <c r="E20" s="141">
        <v>0</v>
      </c>
      <c r="F20" s="141">
        <v>0</v>
      </c>
      <c r="G20" s="141">
        <v>0</v>
      </c>
      <c r="H20" s="141">
        <v>0</v>
      </c>
    </row>
    <row r="21" spans="1:9" x14ac:dyDescent="0.25">
      <c r="A21" s="52" t="s">
        <v>64</v>
      </c>
      <c r="B21" s="52" t="s">
        <v>27</v>
      </c>
      <c r="C21" s="52" t="s">
        <v>268</v>
      </c>
      <c r="D21" s="141">
        <v>0.7</v>
      </c>
      <c r="E21" s="141">
        <v>0</v>
      </c>
      <c r="F21" s="141">
        <v>0</v>
      </c>
      <c r="G21" s="141">
        <v>0</v>
      </c>
      <c r="H21" s="141">
        <v>0</v>
      </c>
    </row>
    <row r="22" spans="1:9" x14ac:dyDescent="0.25">
      <c r="C22" s="52" t="s">
        <v>269</v>
      </c>
      <c r="D22" s="141">
        <v>0.19</v>
      </c>
      <c r="E22" s="141">
        <v>0</v>
      </c>
      <c r="F22" s="141">
        <v>0</v>
      </c>
      <c r="G22" s="141">
        <v>0</v>
      </c>
      <c r="H22" s="141">
        <v>0</v>
      </c>
    </row>
    <row r="23" spans="1:9" x14ac:dyDescent="0.25">
      <c r="A23" s="52" t="s">
        <v>79</v>
      </c>
      <c r="B23" s="52" t="s">
        <v>71</v>
      </c>
      <c r="C23" s="52" t="s">
        <v>268</v>
      </c>
      <c r="D23" s="141">
        <v>1</v>
      </c>
      <c r="E23" s="141">
        <v>1</v>
      </c>
      <c r="F23" s="141">
        <v>1</v>
      </c>
      <c r="G23" s="141">
        <v>1</v>
      </c>
      <c r="H23" s="141">
        <v>1</v>
      </c>
    </row>
    <row r="24" spans="1:9" x14ac:dyDescent="0.25">
      <c r="C24" s="52" t="s">
        <v>269</v>
      </c>
      <c r="D24" s="141">
        <v>0</v>
      </c>
      <c r="E24" s="141">
        <v>0</v>
      </c>
      <c r="F24" s="141">
        <v>0</v>
      </c>
      <c r="G24" s="141">
        <v>0</v>
      </c>
      <c r="H24" s="141">
        <v>0</v>
      </c>
    </row>
    <row r="25" spans="1:9" x14ac:dyDescent="0.25">
      <c r="C25" s="52" t="s">
        <v>270</v>
      </c>
      <c r="D25" s="141">
        <v>0</v>
      </c>
      <c r="E25" s="141">
        <v>0</v>
      </c>
      <c r="F25" s="141">
        <v>0</v>
      </c>
      <c r="G25" s="141">
        <v>0</v>
      </c>
      <c r="H25" s="141">
        <v>0</v>
      </c>
    </row>
    <row r="26" spans="1:9" x14ac:dyDescent="0.25">
      <c r="A26" s="52" t="s">
        <v>80</v>
      </c>
      <c r="B26" s="52" t="s">
        <v>71</v>
      </c>
      <c r="C26" s="52" t="s">
        <v>268</v>
      </c>
      <c r="D26" s="141">
        <v>1</v>
      </c>
      <c r="E26" s="141">
        <v>1</v>
      </c>
      <c r="F26" s="141">
        <v>1</v>
      </c>
      <c r="G26" s="141">
        <v>1</v>
      </c>
      <c r="H26" s="141">
        <v>1</v>
      </c>
    </row>
    <row r="27" spans="1:9" x14ac:dyDescent="0.25">
      <c r="C27" s="52" t="s">
        <v>269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</row>
    <row r="28" spans="1:9" x14ac:dyDescent="0.25">
      <c r="C28" s="52" t="s">
        <v>270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</row>
    <row r="29" spans="1:9" x14ac:dyDescent="0.25">
      <c r="A29" s="52" t="s">
        <v>81</v>
      </c>
      <c r="B29" s="52" t="s">
        <v>71</v>
      </c>
      <c r="C29" s="52" t="s">
        <v>268</v>
      </c>
      <c r="D29" s="141">
        <v>1</v>
      </c>
      <c r="E29" s="141">
        <v>1</v>
      </c>
      <c r="F29" s="141">
        <v>1</v>
      </c>
      <c r="G29" s="141">
        <v>1</v>
      </c>
      <c r="H29" s="141">
        <v>1</v>
      </c>
    </row>
    <row r="30" spans="1:9" x14ac:dyDescent="0.25">
      <c r="C30" s="52" t="s">
        <v>269</v>
      </c>
      <c r="D30" s="141">
        <v>0</v>
      </c>
      <c r="E30" s="141">
        <v>0</v>
      </c>
      <c r="F30" s="141">
        <v>0</v>
      </c>
      <c r="G30" s="141">
        <v>0</v>
      </c>
      <c r="H30" s="141">
        <v>0</v>
      </c>
    </row>
    <row r="31" spans="1:9" x14ac:dyDescent="0.25">
      <c r="C31" s="52" t="s">
        <v>270</v>
      </c>
      <c r="D31" s="141">
        <v>0</v>
      </c>
      <c r="E31" s="141">
        <v>0</v>
      </c>
      <c r="F31" s="141">
        <v>0</v>
      </c>
      <c r="G31" s="141">
        <v>0</v>
      </c>
      <c r="H31" s="141">
        <v>0</v>
      </c>
    </row>
    <row r="32" spans="1:9" x14ac:dyDescent="0.25">
      <c r="A32" s="52" t="s">
        <v>82</v>
      </c>
      <c r="B32" s="52" t="s">
        <v>71</v>
      </c>
      <c r="C32" s="52" t="s">
        <v>268</v>
      </c>
      <c r="D32" s="141">
        <v>1</v>
      </c>
      <c r="E32" s="141">
        <v>1</v>
      </c>
      <c r="F32" s="141">
        <v>1</v>
      </c>
      <c r="G32" s="141">
        <v>1</v>
      </c>
      <c r="H32" s="141">
        <v>1</v>
      </c>
    </row>
    <row r="33" spans="1:8" x14ac:dyDescent="0.25">
      <c r="C33" s="52" t="s">
        <v>269</v>
      </c>
      <c r="D33" s="141">
        <v>0</v>
      </c>
      <c r="E33" s="141">
        <v>0</v>
      </c>
      <c r="F33" s="141">
        <v>0</v>
      </c>
      <c r="G33" s="141">
        <v>0</v>
      </c>
      <c r="H33" s="141">
        <v>0</v>
      </c>
    </row>
    <row r="34" spans="1:8" x14ac:dyDescent="0.25">
      <c r="C34" s="52" t="s">
        <v>270</v>
      </c>
      <c r="D34" s="141">
        <v>0</v>
      </c>
      <c r="E34" s="141">
        <v>0</v>
      </c>
      <c r="F34" s="141">
        <v>0</v>
      </c>
      <c r="G34" s="141">
        <v>0</v>
      </c>
      <c r="H34" s="141">
        <v>0</v>
      </c>
    </row>
    <row r="35" spans="1:8" x14ac:dyDescent="0.25">
      <c r="A35" s="52" t="s">
        <v>83</v>
      </c>
      <c r="B35" s="52" t="s">
        <v>71</v>
      </c>
      <c r="C35" s="52" t="s">
        <v>268</v>
      </c>
      <c r="D35" s="141">
        <v>1</v>
      </c>
      <c r="E35" s="141">
        <v>1</v>
      </c>
      <c r="F35" s="141">
        <v>1</v>
      </c>
      <c r="G35" s="141">
        <v>1</v>
      </c>
      <c r="H35" s="141">
        <v>1</v>
      </c>
    </row>
    <row r="36" spans="1:8" x14ac:dyDescent="0.25">
      <c r="C36" s="52" t="s">
        <v>269</v>
      </c>
      <c r="D36" s="141">
        <v>0</v>
      </c>
      <c r="E36" s="141">
        <v>0</v>
      </c>
      <c r="F36" s="141">
        <v>0</v>
      </c>
      <c r="G36" s="141">
        <v>0</v>
      </c>
      <c r="H36" s="141">
        <v>0</v>
      </c>
    </row>
    <row r="37" spans="1:8" x14ac:dyDescent="0.25">
      <c r="C37" s="52" t="s">
        <v>270</v>
      </c>
      <c r="D37" s="141">
        <v>0</v>
      </c>
      <c r="E37" s="141">
        <v>0</v>
      </c>
      <c r="F37" s="141">
        <v>0</v>
      </c>
      <c r="G37" s="141">
        <v>0</v>
      </c>
      <c r="H37" s="141">
        <v>0</v>
      </c>
    </row>
    <row r="38" spans="1:8" x14ac:dyDescent="0.25">
      <c r="A38" s="52" t="s">
        <v>60</v>
      </c>
      <c r="B38" s="52" t="s">
        <v>71</v>
      </c>
      <c r="C38" s="52" t="s">
        <v>268</v>
      </c>
      <c r="D38" s="141">
        <v>0.3</v>
      </c>
      <c r="E38" s="141">
        <v>0.3</v>
      </c>
      <c r="F38" s="141">
        <v>0.3</v>
      </c>
      <c r="G38" s="141">
        <v>0.3</v>
      </c>
      <c r="H38" s="141">
        <v>0.3</v>
      </c>
    </row>
    <row r="39" spans="1:8" x14ac:dyDescent="0.25">
      <c r="C39" s="52" t="s">
        <v>269</v>
      </c>
      <c r="D39" s="141">
        <v>0.5</v>
      </c>
      <c r="E39" s="141">
        <v>0.5</v>
      </c>
      <c r="F39" s="141">
        <v>0.5</v>
      </c>
      <c r="G39" s="141">
        <v>0.5</v>
      </c>
      <c r="H39" s="141">
        <v>0.5</v>
      </c>
    </row>
    <row r="40" spans="1:8" x14ac:dyDescent="0.25">
      <c r="C40" s="52" t="s">
        <v>270</v>
      </c>
      <c r="D40" s="141">
        <v>0.65</v>
      </c>
      <c r="E40" s="141">
        <v>0.65</v>
      </c>
      <c r="F40" s="141">
        <v>0.65</v>
      </c>
      <c r="G40" s="141">
        <v>0.65</v>
      </c>
      <c r="H40" s="141">
        <v>0.65</v>
      </c>
    </row>
    <row r="41" spans="1:8" x14ac:dyDescent="0.25">
      <c r="B41" s="52" t="s">
        <v>16</v>
      </c>
      <c r="C41" s="52" t="s">
        <v>268</v>
      </c>
      <c r="D41" s="141">
        <v>0.3</v>
      </c>
      <c r="E41" s="141">
        <v>0.3</v>
      </c>
      <c r="F41" s="141">
        <v>0.3</v>
      </c>
      <c r="G41" s="141">
        <v>0.3</v>
      </c>
      <c r="H41" s="141">
        <v>0.3</v>
      </c>
    </row>
    <row r="42" spans="1:8" x14ac:dyDescent="0.25">
      <c r="C42" s="52" t="s">
        <v>269</v>
      </c>
      <c r="D42" s="141">
        <v>0.5</v>
      </c>
      <c r="E42" s="141">
        <v>0.5</v>
      </c>
      <c r="F42" s="141">
        <v>0.5</v>
      </c>
      <c r="G42" s="141">
        <v>0.5</v>
      </c>
      <c r="H42" s="141">
        <v>0.5</v>
      </c>
    </row>
    <row r="43" spans="1:8" x14ac:dyDescent="0.25">
      <c r="C43" s="52" t="s">
        <v>270</v>
      </c>
      <c r="D43" s="141">
        <v>0.63</v>
      </c>
      <c r="E43" s="141">
        <v>0.63</v>
      </c>
      <c r="F43" s="141">
        <v>0.63</v>
      </c>
      <c r="G43" s="141">
        <v>0.63</v>
      </c>
      <c r="H43" s="141">
        <v>0.63</v>
      </c>
    </row>
    <row r="44" spans="1:8" x14ac:dyDescent="0.25">
      <c r="A44" s="52" t="s">
        <v>84</v>
      </c>
      <c r="B44" s="52" t="s">
        <v>71</v>
      </c>
      <c r="C44" s="52" t="s">
        <v>268</v>
      </c>
      <c r="D44" s="141">
        <v>0.88</v>
      </c>
      <c r="E44" s="141">
        <v>0.88</v>
      </c>
      <c r="F44" s="141">
        <v>0.88</v>
      </c>
      <c r="G44" s="141">
        <v>0.88</v>
      </c>
      <c r="H44" s="141">
        <v>0.88</v>
      </c>
    </row>
    <row r="45" spans="1:8" x14ac:dyDescent="0.25">
      <c r="C45" s="52" t="s">
        <v>269</v>
      </c>
      <c r="D45" s="141">
        <v>0.8</v>
      </c>
      <c r="E45" s="141">
        <v>0.8</v>
      </c>
      <c r="F45" s="141">
        <v>0.8</v>
      </c>
      <c r="G45" s="141">
        <v>0.8</v>
      </c>
      <c r="H45" s="141">
        <v>0.8</v>
      </c>
    </row>
    <row r="46" spans="1:8" x14ac:dyDescent="0.25">
      <c r="A46" s="52" t="s">
        <v>85</v>
      </c>
      <c r="B46" s="52" t="s">
        <v>71</v>
      </c>
      <c r="C46" s="52" t="s">
        <v>268</v>
      </c>
      <c r="D46" s="141">
        <v>1</v>
      </c>
      <c r="E46" s="141">
        <v>1</v>
      </c>
      <c r="F46" s="141">
        <v>1</v>
      </c>
      <c r="G46" s="141">
        <v>1</v>
      </c>
      <c r="H46" s="141">
        <v>1</v>
      </c>
    </row>
    <row r="47" spans="1:8" x14ac:dyDescent="0.25">
      <c r="C47" s="52" t="s">
        <v>269</v>
      </c>
      <c r="D47" s="141">
        <v>0.76</v>
      </c>
      <c r="E47" s="141">
        <v>0.76</v>
      </c>
      <c r="F47" s="141">
        <v>0.76</v>
      </c>
      <c r="G47" s="141">
        <v>0.76</v>
      </c>
      <c r="H47" s="141">
        <v>0.76</v>
      </c>
    </row>
    <row r="48" spans="1:8" x14ac:dyDescent="0.25">
      <c r="A48" s="52" t="s">
        <v>196</v>
      </c>
      <c r="B48" s="52" t="s">
        <v>13</v>
      </c>
      <c r="C48" s="52" t="s">
        <v>268</v>
      </c>
      <c r="D48" s="141">
        <v>0.57999999999999996</v>
      </c>
      <c r="E48" s="141">
        <v>0</v>
      </c>
      <c r="F48" s="141">
        <v>0</v>
      </c>
      <c r="G48" s="141">
        <v>0</v>
      </c>
      <c r="H48" s="141">
        <v>0</v>
      </c>
    </row>
    <row r="49" spans="3:8" x14ac:dyDescent="0.25">
      <c r="C49" s="52" t="s">
        <v>269</v>
      </c>
      <c r="D49" s="141">
        <v>0.88</v>
      </c>
      <c r="E49" s="141">
        <v>0</v>
      </c>
      <c r="F49" s="141">
        <v>0</v>
      </c>
      <c r="G49" s="141">
        <v>0</v>
      </c>
      <c r="H49" s="14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topLeftCell="C1" workbookViewId="0">
      <selection activeCell="D7" sqref="D7:G7"/>
    </sheetView>
  </sheetViews>
  <sheetFormatPr defaultColWidth="12.7265625" defaultRowHeight="12.5" x14ac:dyDescent="0.25"/>
  <cols>
    <col min="1" max="1" width="28" style="35" customWidth="1"/>
    <col min="2" max="2" width="27.453125" style="35" customWidth="1"/>
    <col min="3" max="3" width="23.7265625" style="35" customWidth="1"/>
    <col min="4" max="7" width="17.26953125" style="35" customWidth="1"/>
    <col min="8" max="16384" width="12.7265625" style="35"/>
  </cols>
  <sheetData>
    <row r="1" spans="1:8" ht="13" x14ac:dyDescent="0.3">
      <c r="A1" s="124" t="s">
        <v>69</v>
      </c>
      <c r="B1" s="124" t="s">
        <v>266</v>
      </c>
      <c r="C1" s="124"/>
      <c r="D1" s="40" t="s">
        <v>53</v>
      </c>
      <c r="E1" s="40" t="s">
        <v>54</v>
      </c>
      <c r="F1" s="40" t="s">
        <v>55</v>
      </c>
      <c r="G1" s="40" t="s">
        <v>56</v>
      </c>
      <c r="H1" s="99"/>
    </row>
    <row r="2" spans="1:8" x14ac:dyDescent="0.25">
      <c r="A2" s="43" t="s">
        <v>86</v>
      </c>
      <c r="B2" s="35" t="s">
        <v>41</v>
      </c>
      <c r="C2" s="43" t="s">
        <v>268</v>
      </c>
      <c r="D2" s="141">
        <v>1</v>
      </c>
      <c r="E2" s="141">
        <v>1</v>
      </c>
      <c r="F2" s="141">
        <v>1</v>
      </c>
      <c r="G2" s="141">
        <v>1</v>
      </c>
      <c r="H2" s="95"/>
    </row>
    <row r="3" spans="1:8" x14ac:dyDescent="0.25">
      <c r="C3" s="35" t="s">
        <v>269</v>
      </c>
      <c r="D3" s="141">
        <v>0.2</v>
      </c>
      <c r="E3" s="141">
        <v>0.2</v>
      </c>
      <c r="F3" s="141">
        <v>0.2</v>
      </c>
      <c r="G3" s="141">
        <v>0.2</v>
      </c>
      <c r="H3" s="133"/>
    </row>
    <row r="4" spans="1:8" x14ac:dyDescent="0.25">
      <c r="A4" s="43" t="s">
        <v>87</v>
      </c>
      <c r="B4" s="35" t="s">
        <v>41</v>
      </c>
      <c r="C4" s="43" t="s">
        <v>268</v>
      </c>
      <c r="D4" s="141">
        <v>1</v>
      </c>
      <c r="E4" s="141">
        <v>1</v>
      </c>
      <c r="F4" s="141">
        <v>1</v>
      </c>
      <c r="G4" s="141">
        <v>1</v>
      </c>
      <c r="H4" s="133"/>
    </row>
    <row r="5" spans="1:8" x14ac:dyDescent="0.25">
      <c r="A5" s="36"/>
      <c r="C5" s="35" t="s">
        <v>269</v>
      </c>
      <c r="D5" s="141">
        <v>0.59</v>
      </c>
      <c r="E5" s="141">
        <v>0.59</v>
      </c>
      <c r="F5" s="141">
        <v>0.59</v>
      </c>
      <c r="G5" s="141">
        <v>0.59</v>
      </c>
      <c r="H5" s="95"/>
    </row>
    <row r="6" spans="1:8" x14ac:dyDescent="0.25">
      <c r="A6" s="43" t="s">
        <v>88</v>
      </c>
      <c r="B6" s="35" t="s">
        <v>41</v>
      </c>
      <c r="C6" s="43" t="s">
        <v>268</v>
      </c>
      <c r="D6" s="141">
        <v>1</v>
      </c>
      <c r="E6" s="141">
        <v>1</v>
      </c>
      <c r="F6" s="141">
        <v>1</v>
      </c>
      <c r="G6" s="141">
        <v>1</v>
      </c>
      <c r="H6" s="95"/>
    </row>
    <row r="7" spans="1:8" x14ac:dyDescent="0.25">
      <c r="A7" s="36"/>
      <c r="C7" s="35" t="s">
        <v>269</v>
      </c>
      <c r="D7" s="141">
        <v>0.59</v>
      </c>
      <c r="E7" s="141">
        <v>0.59</v>
      </c>
      <c r="F7" s="141">
        <v>0.59</v>
      </c>
      <c r="G7" s="141">
        <v>0.59</v>
      </c>
      <c r="H7" s="133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target population</vt:lpstr>
      <vt:lpstr>Programs cost and coverage</vt:lpstr>
      <vt:lpstr>IYCF cost</vt:lpstr>
      <vt:lpstr>Program dependencies</vt:lpstr>
      <vt:lpstr>Reference programs</vt:lpstr>
      <vt:lpstr>Incidence of conditions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 Delport</cp:lastModifiedBy>
  <dcterms:created xsi:type="dcterms:W3CDTF">2017-08-01T10:42:13Z</dcterms:created>
  <dcterms:modified xsi:type="dcterms:W3CDTF">2020-03-24T06:50:59Z</dcterms:modified>
</cp:coreProperties>
</file>