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ominic.delport\Documents\Optima Nutrition Work\SDG project data\Modelling\Optima\inputs\"/>
    </mc:Choice>
  </mc:AlternateContent>
  <xr:revisionPtr revIDLastSave="0" documentId="8_{9F9459D9-C314-49FD-A787-E436FB44F6DE}" xr6:coauthVersionLast="45" xr6:coauthVersionMax="45" xr10:uidLastSave="{00000000-0000-0000-0000-000000000000}"/>
  <bookViews>
    <workbookView xWindow="-110" yWindow="-110" windowWidth="19420" windowHeight="10420" tabRatio="894" firstSheet="2" activeTab="11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state="hidden" r:id="rId7"/>
    <sheet name="Treatment of SAM" sheetId="60" state="hidden" r:id="rId8"/>
    <sheet name="Programs target population" sheetId="21" state="hidden" r:id="rId9"/>
    <sheet name="Programs cost and coverage" sheetId="56" r:id="rId10"/>
    <sheet name="IYCF cost" sheetId="57" state="hidden" r:id="rId11"/>
    <sheet name="Program dependencies" sheetId="58" r:id="rId12"/>
    <sheet name="Reference programs" sheetId="59" state="hidden" r:id="rId13"/>
    <sheet name="Incidence of conditions" sheetId="7" state="hidden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state="hidden" r:id="rId26"/>
    <sheet name="Programs for children" sheetId="72" state="hidden" r:id="rId27"/>
    <sheet name="Programs for PW" sheetId="73" state="hidden" r:id="rId28"/>
  </sheet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C11" i="51"/>
  <c r="C10" i="51"/>
  <c r="C14" i="51"/>
  <c r="C15" i="5"/>
  <c r="E31" i="21"/>
  <c r="D5" i="65"/>
  <c r="C35" i="4"/>
  <c r="D23" i="4"/>
  <c r="E23" i="4"/>
  <c r="F23" i="4"/>
  <c r="C23" i="4"/>
  <c r="C11" i="4"/>
  <c r="A1" i="4"/>
  <c r="M23" i="21"/>
  <c r="N23" i="21"/>
  <c r="O23" i="21"/>
  <c r="L23" i="21"/>
  <c r="G11" i="21"/>
  <c r="F11" i="21"/>
  <c r="E11" i="21"/>
  <c r="D11" i="21"/>
  <c r="C11" i="21"/>
  <c r="E7" i="21"/>
  <c r="G7" i="21"/>
  <c r="F7" i="21"/>
  <c r="D7" i="21"/>
  <c r="C7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34" i="2"/>
  <c r="G16" i="2"/>
  <c r="H16" i="2"/>
  <c r="G17" i="2"/>
  <c r="H17" i="2"/>
  <c r="G18" i="2"/>
  <c r="H18" i="2"/>
  <c r="G19" i="2"/>
  <c r="H19" i="2"/>
  <c r="I19" i="2" s="1"/>
  <c r="G20" i="2"/>
  <c r="H20" i="2"/>
  <c r="I20" i="2" s="1"/>
  <c r="G21" i="2"/>
  <c r="H21" i="2"/>
  <c r="I21" i="2" s="1"/>
  <c r="G22" i="2"/>
  <c r="H22" i="2"/>
  <c r="I22" i="2" s="1"/>
  <c r="G23" i="2"/>
  <c r="H23" i="2"/>
  <c r="I23" i="2" s="1"/>
  <c r="G24" i="2"/>
  <c r="H24" i="2"/>
  <c r="G25" i="2"/>
  <c r="H25" i="2"/>
  <c r="I25" i="2" s="1"/>
  <c r="G26" i="2"/>
  <c r="H26" i="2"/>
  <c r="I26" i="2" s="1"/>
  <c r="G27" i="2"/>
  <c r="H27" i="2"/>
  <c r="I27" i="2" s="1"/>
  <c r="G28" i="2"/>
  <c r="H28" i="2"/>
  <c r="I28" i="2" s="1"/>
  <c r="G29" i="2"/>
  <c r="H29" i="2"/>
  <c r="G30" i="2"/>
  <c r="H30" i="2"/>
  <c r="I30" i="2" s="1"/>
  <c r="G31" i="2"/>
  <c r="H31" i="2"/>
  <c r="I31" i="2" s="1"/>
  <c r="G32" i="2"/>
  <c r="H32" i="2"/>
  <c r="I32" i="2" s="1"/>
  <c r="G33" i="2"/>
  <c r="H33" i="2"/>
  <c r="I33" i="2" s="1"/>
  <c r="G34" i="2"/>
  <c r="H34" i="2"/>
  <c r="I34" i="2" s="1"/>
  <c r="G35" i="2"/>
  <c r="H35" i="2"/>
  <c r="I35" i="2" s="1"/>
  <c r="G36" i="2"/>
  <c r="H36" i="2"/>
  <c r="I36" i="2" s="1"/>
  <c r="G37" i="2"/>
  <c r="H37" i="2"/>
  <c r="I37" i="2" s="1"/>
  <c r="G38" i="2"/>
  <c r="H38" i="2"/>
  <c r="I38" i="2" s="1"/>
  <c r="G39" i="2"/>
  <c r="H39" i="2"/>
  <c r="I39" i="2" s="1"/>
  <c r="G40" i="2"/>
  <c r="H40" i="2"/>
  <c r="I40" i="2" s="1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C7" i="51" s="1"/>
  <c r="H15" i="5"/>
  <c r="G15" i="5"/>
  <c r="F15" i="5"/>
  <c r="E15" i="5"/>
  <c r="D15" i="5"/>
  <c r="G5" i="50"/>
  <c r="F5" i="50"/>
  <c r="E5" i="50"/>
  <c r="D5" i="50"/>
  <c r="C5" i="50"/>
  <c r="C48" i="1"/>
  <c r="H3" i="2"/>
  <c r="H4" i="2"/>
  <c r="G4" i="2"/>
  <c r="H5" i="2"/>
  <c r="I5" i="2" s="1"/>
  <c r="H6" i="2"/>
  <c r="I6" i="2" s="1"/>
  <c r="H7" i="2"/>
  <c r="H8" i="2"/>
  <c r="H9" i="2"/>
  <c r="H10" i="2"/>
  <c r="H11" i="2"/>
  <c r="H12" i="2"/>
  <c r="I12" i="2" s="1"/>
  <c r="H13" i="2"/>
  <c r="I13" i="2" s="1"/>
  <c r="H14" i="2"/>
  <c r="I14" i="2" s="1"/>
  <c r="H15" i="2"/>
  <c r="C20" i="1"/>
  <c r="G3" i="2"/>
  <c r="G5" i="2"/>
  <c r="G6" i="2"/>
  <c r="G7" i="2"/>
  <c r="G8" i="2"/>
  <c r="G9" i="2"/>
  <c r="G10" i="2"/>
  <c r="G11" i="2"/>
  <c r="G12" i="2"/>
  <c r="G13" i="2"/>
  <c r="G14" i="2"/>
  <c r="G15" i="2"/>
  <c r="G2" i="2"/>
  <c r="I10" i="2"/>
  <c r="I24" i="2"/>
  <c r="I18" i="2"/>
  <c r="I16" i="2"/>
  <c r="I29" i="2"/>
  <c r="A3" i="2"/>
  <c r="A24" i="2"/>
  <c r="A18" i="2"/>
  <c r="A36" i="2"/>
  <c r="A40" i="2"/>
  <c r="A22" i="2"/>
  <c r="A25" i="2"/>
  <c r="A29" i="2"/>
  <c r="A27" i="2"/>
  <c r="A31" i="2"/>
  <c r="A20" i="2"/>
  <c r="A16" i="2"/>
  <c r="I17" i="2"/>
  <c r="A19" i="2"/>
  <c r="A35" i="2"/>
  <c r="A28" i="2"/>
  <c r="A17" i="2"/>
  <c r="A33" i="2"/>
  <c r="A30" i="2"/>
  <c r="A26" i="2"/>
  <c r="A23" i="2"/>
  <c r="A39" i="2"/>
  <c r="A32" i="2"/>
  <c r="A21" i="2"/>
  <c r="A37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8" i="2"/>
  <c r="C8" i="51" l="1"/>
  <c r="I15" i="2"/>
  <c r="I11" i="2"/>
  <c r="I9" i="2"/>
  <c r="I8" i="2"/>
  <c r="I7" i="2"/>
  <c r="I4" i="2"/>
  <c r="I3" i="2"/>
  <c r="I2" i="2"/>
  <c r="C6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7" authorId="0" shapeId="0" xr:uid="{D7E9DFD5-F6E9-4FB6-BC84-3A043264FEC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8" authorId="0" shapeId="0" xr:uid="{EF32330E-15E7-482F-8825-54CB1D5CD983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9" authorId="0" shapeId="0" xr:uid="{86BA603C-D871-4A55-9050-823CD1FDF5C4}">
      <text>
        <r>
          <rPr>
            <sz val="9"/>
            <color indexed="81"/>
            <rFont val="Tahoma"/>
            <charset val="1"/>
          </rPr>
          <t>Source: LiST [Percentage of women exposed]</t>
        </r>
      </text>
    </comment>
    <comment ref="C10" authorId="0" shapeId="0" xr:uid="{6C74E4E1-D332-4AE5-86E2-4D4C27CDBB46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11" authorId="0" shapeId="0" xr:uid="{56555666-B52D-4924-8649-E9560F8F29BB}">
      <text>
        <r>
          <rPr>
            <sz val="9"/>
            <color indexed="81"/>
            <rFont val="Tahoma"/>
            <charset val="1"/>
          </rPr>
          <t>Source: WHO Global Health Observatory (Country level)</t>
        </r>
      </text>
    </comment>
    <comment ref="C12" authorId="0" shapeId="0" xr:uid="{CC5E1594-0AB9-4CEE-A738-55137C261888}">
      <text>
        <r>
          <rPr>
            <sz val="9"/>
            <color indexed="81"/>
            <rFont val="Tahoma"/>
            <charset val="1"/>
          </rPr>
          <t>Source: Old WHO Global Health Observatory data [Filler data]</t>
        </r>
      </text>
    </comment>
    <comment ref="C13" authorId="0" shapeId="0" xr:uid="{7834F887-CEE6-4E5F-997D-A8EB68681687}">
      <text>
        <r>
          <rPr>
            <sz val="9"/>
            <color indexed="81"/>
            <rFont val="Tahoma"/>
            <charset val="1"/>
          </rPr>
          <t>Source: WHO Global Health Observatory (Region level)</t>
        </r>
      </text>
    </comment>
    <comment ref="C16" authorId="0" shapeId="0" xr:uid="{1AF05EBC-6D44-432B-B0F3-E4DA1CE47D33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17" authorId="0" shapeId="0" xr:uid="{2EE8F296-99B3-419D-985E-F5DB6238C0ED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18" authorId="0" shapeId="0" xr:uid="{E912D335-392F-46FD-A78F-0EE76387AEE9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19" authorId="0" shapeId="0" xr:uid="{50A47634-ADC4-43B3-A685-A0B61465D8E1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23" authorId="0" shapeId="0" xr:uid="{768A0199-ADF7-4C43-A9D6-8A8C73B4C8D8}">
      <text>
        <r>
          <rPr>
            <sz val="9"/>
            <color indexed="81"/>
            <rFont val="Tahoma"/>
            <charset val="1"/>
          </rPr>
          <t>Source: LiST</t>
        </r>
      </text>
    </comment>
    <comment ref="C24" authorId="0" shapeId="0" xr:uid="{EACBDE38-05EE-49DD-B3DC-2A7F69EC95D9}">
      <text>
        <r>
          <rPr>
            <sz val="9"/>
            <color indexed="81"/>
            <rFont val="Tahoma"/>
            <charset val="1"/>
          </rPr>
          <t>Source: LiST</t>
        </r>
      </text>
    </comment>
    <comment ref="C25" authorId="0" shapeId="0" xr:uid="{A3BF3783-CD12-40F3-9582-9FCA9AF1A59B}">
      <text>
        <r>
          <rPr>
            <sz val="9"/>
            <color indexed="81"/>
            <rFont val="Tahoma"/>
            <charset val="1"/>
          </rPr>
          <t>Source: LiST</t>
        </r>
      </text>
    </comment>
    <comment ref="C26" authorId="0" shapeId="0" xr:uid="{A8A6825B-569B-4B3F-93F0-985B92E186AD}">
      <text>
        <r>
          <rPr>
            <sz val="9"/>
            <color indexed="81"/>
            <rFont val="Tahoma"/>
            <charset val="1"/>
          </rPr>
          <t>Source: LiST</t>
        </r>
      </text>
    </comment>
    <comment ref="C29" authorId="0" shapeId="0" xr:uid="{0A50CB04-1ACE-409B-96FC-D92E39265315}">
      <text>
        <r>
          <rPr>
            <sz val="9"/>
            <color indexed="81"/>
            <rFont val="Tahoma"/>
            <charset val="1"/>
          </rPr>
          <t>Source: LiST</t>
        </r>
      </text>
    </comment>
    <comment ref="C30" authorId="0" shapeId="0" xr:uid="{6F7F5436-AE7B-4861-82F8-8D1B0EA689CD}">
      <text>
        <r>
          <rPr>
            <sz val="9"/>
            <color indexed="81"/>
            <rFont val="Tahoma"/>
            <charset val="1"/>
          </rPr>
          <t>Source: LiST</t>
        </r>
      </text>
    </comment>
    <comment ref="C31" authorId="0" shapeId="0" xr:uid="{F00B6FA3-0236-4559-BFB1-43BC53642168}">
      <text>
        <r>
          <rPr>
            <sz val="9"/>
            <color indexed="81"/>
            <rFont val="Tahoma"/>
            <charset val="1"/>
          </rPr>
          <t>Source: LiST</t>
        </r>
      </text>
    </comment>
    <comment ref="C32" authorId="0" shapeId="0" xr:uid="{967205C8-17B2-4E5C-B030-2F880C3824A2}">
      <text>
        <r>
          <rPr>
            <sz val="9"/>
            <color indexed="81"/>
            <rFont val="Tahoma"/>
            <charset val="1"/>
          </rPr>
          <t>Source: LiST</t>
        </r>
      </text>
    </comment>
    <comment ref="C37" authorId="0" shapeId="0" xr:uid="{2414DCF2-7EC1-49C8-B09D-686D112A405C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38" authorId="0" shapeId="0" xr:uid="{BD66993C-C052-4622-B5CB-136BF34B79E8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39" authorId="0" shapeId="0" xr:uid="{7D496AC4-46E0-4FC8-84F0-C7BACF2BB8FD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40" authorId="0" shapeId="0" xr:uid="{51BE6C31-336F-4CAF-B967-A98595D3B035}">
      <text>
        <r>
          <rPr>
            <sz val="9"/>
            <color indexed="81"/>
            <rFont val="Tahoma"/>
            <charset val="1"/>
          </rPr>
          <t>Source: UNICEF Data (2015) (Country level)</t>
        </r>
      </text>
    </comment>
    <comment ref="C41" authorId="0" shapeId="0" xr:uid="{B962E743-E266-4674-894D-9B5CA843B3D7}">
      <text>
        <r>
          <rPr>
            <sz val="9"/>
            <color indexed="81"/>
            <rFont val="Tahoma"/>
            <charset val="1"/>
          </rPr>
          <t>Source: LiST</t>
        </r>
      </text>
    </comment>
    <comment ref="C42" authorId="0" shapeId="0" xr:uid="{3CB0F1E2-BE24-43BA-9591-525A4C57A911}">
      <text>
        <r>
          <rPr>
            <sz val="9"/>
            <color indexed="81"/>
            <rFont val="Tahoma"/>
            <charset val="1"/>
          </rPr>
          <t>Source: WHO Global Health Observatory (2015) (Country level)</t>
        </r>
      </text>
    </comment>
    <comment ref="C45" authorId="0" shapeId="0" xr:uid="{468926C2-0F53-4669-83CB-AF97A6D1D50F}">
      <text>
        <r>
          <rPr>
            <sz val="9"/>
            <color indexed="81"/>
            <rFont val="Tahoma"/>
            <charset val="1"/>
          </rPr>
          <t>Source: LiST</t>
        </r>
      </text>
    </comment>
    <comment ref="C46" authorId="0" shapeId="0" xr:uid="{6DC7D68B-BC3A-4C78-97C1-32F51923EE05}">
      <text>
        <r>
          <rPr>
            <sz val="9"/>
            <color indexed="81"/>
            <rFont val="Tahoma"/>
            <charset val="1"/>
          </rPr>
          <t>Source: LiST</t>
        </r>
      </text>
    </comment>
    <comment ref="C47" authorId="0" shapeId="0" xr:uid="{7CADA087-AFC0-4E70-832E-16794E6F000A}">
      <text>
        <r>
          <rPr>
            <sz val="9"/>
            <color indexed="81"/>
            <rFont val="Tahoma"/>
            <charset val="1"/>
          </rPr>
          <t>Source: LiST</t>
        </r>
      </text>
    </comment>
    <comment ref="C51" authorId="0" shapeId="0" xr:uid="{5EC6BDB7-347A-45E9-BC6E-6324F2FF336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2" authorId="0" shapeId="0" xr:uid="{5B07C545-96AA-44AB-9F55-4A1DF3D0FC9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3" authorId="0" shapeId="0" xr:uid="{D413A91E-7A01-41F1-88E2-7FA488E22604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4" authorId="0" shapeId="0" xr:uid="{BABB997D-7D74-44F3-B728-C96CF12375A3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5" authorId="0" shapeId="0" xr:uid="{5F4EB4A9-D2AC-4A22-9639-54EBFA6FCB0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8" authorId="0" shapeId="0" xr:uid="{F4579681-905B-4FCF-BAD1-9BC56E4BD9E9}">
      <text>
        <r>
          <rPr>
            <sz val="9"/>
            <color indexed="81"/>
            <rFont val="Tahoma"/>
            <charset val="1"/>
          </rPr>
          <t>Source: Global burden of childhood pneumonia and diarrhoea &lt;https://www.sciencedirect.com/science/article/pii/S0140673613602226?via%3Dihub&gt; (Region level)</t>
        </r>
      </text>
    </comment>
    <comment ref="C59" authorId="0" shapeId="0" xr:uid="{71596BFE-88C4-4958-8B23-1BF5B2ED8E0B}">
      <text>
        <r>
          <rPr>
            <sz val="9"/>
            <color indexed="81"/>
            <rFont val="Tahoma"/>
            <charset val="1"/>
          </rPr>
          <t>Source: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B2" authorId="0" shapeId="0" xr:uid="{28242D93-ECC7-4ED5-9A66-1C7EAECF199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2" authorId="0" shapeId="0" xr:uid="{E892C7F1-2F2F-465D-B78C-5666C6282DE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2" authorId="0" shapeId="0" xr:uid="{9E0C3ECD-1E03-480D-89C0-EDB3D0725E2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2" authorId="0" shapeId="0" xr:uid="{1B2A1B9A-5893-42B5-A675-D20A7FCFD6A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2" authorId="0" shapeId="0" xr:uid="{96B4665D-CFA9-4550-A393-C957B11B5CDF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3" authorId="0" shapeId="0" xr:uid="{77D2A2A4-0202-47E0-8B4F-19596F30198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3" authorId="0" shapeId="0" xr:uid="{0AFE7983-8B58-41CD-AE0C-1D51017F717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3" authorId="0" shapeId="0" xr:uid="{1AD80DF8-25E2-4105-8230-1D71B7A7F2C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3" authorId="0" shapeId="0" xr:uid="{8EE7C215-E2C8-4FCB-A4B5-E14F2E96E7C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3" authorId="0" shapeId="0" xr:uid="{AFBCF3FB-3305-448F-9F52-38D7372598DF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4" authorId="0" shapeId="0" xr:uid="{AE917F14-5CCD-4F63-826C-AF23CF3D694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4" authorId="0" shapeId="0" xr:uid="{36C24C27-A892-4232-9841-29B8EBFE3B1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4" authorId="0" shapeId="0" xr:uid="{C93F2A2D-3F64-43B7-98D9-8D2FF7C14D9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4" authorId="0" shapeId="0" xr:uid="{B5D13805-325F-40E6-A93A-B684D9694FE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4" authorId="0" shapeId="0" xr:uid="{EE86BAF5-0C68-4B4E-90DD-834A5F28A1B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5" authorId="0" shapeId="0" xr:uid="{B85331F4-0F54-46B2-8604-A9AD518C691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5" authorId="0" shapeId="0" xr:uid="{DF2A838D-DA80-4DB2-BB79-29B6A86E5F74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5" authorId="0" shapeId="0" xr:uid="{17D31E24-54C2-46AA-9320-DDCC7BC5254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5" authorId="0" shapeId="0" xr:uid="{41C39D21-6820-4D37-A10F-B203F142D75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5" authorId="0" shapeId="0" xr:uid="{514BEF94-C8EE-4EB1-AE20-0846349BBA2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6" authorId="0" shapeId="0" xr:uid="{2B33C5D7-494F-4E8E-BA51-8EFE52496B9F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6" authorId="0" shapeId="0" xr:uid="{603AAF3C-8BBB-454B-8628-ED24AC80A0C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6" authorId="0" shapeId="0" xr:uid="{BFBA8A16-9A62-47EC-B8EF-264FE35438F4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6" authorId="0" shapeId="0" xr:uid="{53A06A7C-1CC6-4566-A709-707DB0FB739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6" authorId="0" shapeId="0" xr:uid="{68B5C2BE-F8C8-48E5-B867-7AB7A33D0F9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7" authorId="0" shapeId="0" xr:uid="{4108AFBA-A86E-4EC8-9A1F-486B03D56CC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7" authorId="0" shapeId="0" xr:uid="{3E264466-A43F-4000-92FD-4D83277F2C3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7" authorId="0" shapeId="0" xr:uid="{AA90F006-A99E-41A6-9C03-400D6965FEB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7" authorId="0" shapeId="0" xr:uid="{593C361A-186A-4858-AEA5-52DAE30C195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7" authorId="0" shapeId="0" xr:uid="{BF190C76-A26B-4B8D-A263-67B1B097AFB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8" authorId="0" shapeId="0" xr:uid="{94B8A468-E6CC-460D-9634-6766F146868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8" authorId="0" shapeId="0" xr:uid="{995D5858-01D4-4734-AC61-8C8B3AC3DC4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8" authorId="0" shapeId="0" xr:uid="{56ADCB61-AB5D-4189-82B0-30FDCFF0514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8" authorId="0" shapeId="0" xr:uid="{83CC0602-10B1-44F9-8446-92D1F79CD88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8" authorId="0" shapeId="0" xr:uid="{36FF7689-36BB-4DF7-A36C-465925C2603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9" authorId="0" shapeId="0" xr:uid="{D6A5D929-8B40-497E-9278-60A1E7C721B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9" authorId="0" shapeId="0" xr:uid="{39763536-64EB-4FDD-94FA-90585F97560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9" authorId="0" shapeId="0" xr:uid="{335771D9-82F2-4686-A21F-E812E19E4CA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9" authorId="0" shapeId="0" xr:uid="{C4A0D6EE-3E26-4248-BED2-95C791A65064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9" authorId="0" shapeId="0" xr:uid="{502A1CFB-2CD1-41E3-BAA9-B2E8373B4C2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0" authorId="0" shapeId="0" xr:uid="{70744AE8-C379-4398-89DD-0407D83A403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0" authorId="0" shapeId="0" xr:uid="{858C0C27-08BD-4BEE-8EE5-23110F891BB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0" authorId="0" shapeId="0" xr:uid="{2C6FB10A-BBE3-4221-94D1-F15054B5B53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0" authorId="0" shapeId="0" xr:uid="{16C81A98-D00F-4DE1-85B3-BD16544F368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0" authorId="0" shapeId="0" xr:uid="{9A82372C-F1B4-4C78-BC1E-7B618109F4E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1" authorId="0" shapeId="0" xr:uid="{BCFB7DE9-A17D-4E39-B8F1-E39398D6E65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1" authorId="0" shapeId="0" xr:uid="{6ED20EA8-FFC2-4EF0-A935-C92446BDC35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1" authorId="0" shapeId="0" xr:uid="{5701EECE-741E-4E5C-ACEF-D1FB63AE59F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1" authorId="0" shapeId="0" xr:uid="{9FE51270-0654-4BB0-A523-2D9DB8439E5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1" authorId="0" shapeId="0" xr:uid="{C7EB7E9D-18A5-4D05-811C-B327A117ED8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2" authorId="0" shapeId="0" xr:uid="{50503694-C9A0-4D31-9ECE-46BF503D22A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2" authorId="0" shapeId="0" xr:uid="{4BB21651-DC72-45F8-97AC-CDE438E685B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2" authorId="0" shapeId="0" xr:uid="{686AAA37-F072-4329-A197-7F51ECB8363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2" authorId="0" shapeId="0" xr:uid="{89A9DBA0-6157-4B78-894E-2170EDAB7D5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2" authorId="0" shapeId="0" xr:uid="{067D6255-FA98-4CB3-AE6E-7E2B9469B50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3" authorId="0" shapeId="0" xr:uid="{8BABABBC-AEE0-4DA2-BB6B-D39934DDF06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3" authorId="0" shapeId="0" xr:uid="{F93D1468-79B3-4862-99AB-2170FCB24DF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3" authorId="0" shapeId="0" xr:uid="{AF6D18F8-ACE9-4518-BFB1-4EBA1D45B7F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3" authorId="0" shapeId="0" xr:uid="{6904F215-E0F1-4E5F-8726-8B093FBDDA1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3" authorId="0" shapeId="0" xr:uid="{E571ED19-7C9D-4816-8CA9-306B1A69611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4" authorId="0" shapeId="0" xr:uid="{7951FFEA-F220-425B-A29D-FD8E05474C0F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4" authorId="0" shapeId="0" xr:uid="{9CB7AE36-2C35-4D46-966A-3EE3E5C504F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4" authorId="0" shapeId="0" xr:uid="{CAE92A83-5B5B-4F99-99D4-C22800FEEED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4" authorId="0" shapeId="0" xr:uid="{EFB7715F-9434-4A0A-86BF-FC2FD0CAC3A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4" authorId="0" shapeId="0" xr:uid="{6FE45DDA-F811-4983-BB86-9AFFB0934EC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5" authorId="0" shapeId="0" xr:uid="{E486E7B1-2CF7-4A87-8D6C-F2A6D980252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5" authorId="0" shapeId="0" xr:uid="{05F56BA7-744F-4BC3-8C0C-0A9CCEE4EE9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5" authorId="0" shapeId="0" xr:uid="{239A04F0-E4FB-4E3B-9559-42D8A980516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5" authorId="0" shapeId="0" xr:uid="{1F990702-77A6-40D5-B03B-F820FD84A9CF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5" authorId="0" shapeId="0" xr:uid="{0EAD5090-0D60-4C24-907E-409B70F68BE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3" authorId="0" shapeId="0" xr:uid="{05890D89-9DD0-4AA0-A760-E88D1BA96ABF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4" authorId="0" shapeId="0" xr:uid="{E875B799-5BC4-416C-AB63-E16A5DDA858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" authorId="0" shapeId="0" xr:uid="{12D1BCCF-2540-4036-A472-FF7D8CA7863E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6" authorId="0" shapeId="0" xr:uid="{8377A70A-6BF6-4F2A-81FB-A09F4727775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7" authorId="0" shapeId="0" xr:uid="{7D283EAE-289D-4436-B61D-139AC26CEFA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8" authorId="0" shapeId="0" xr:uid="{D1E13EBA-0868-455D-A9B4-9D13E539934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9" authorId="0" shapeId="0" xr:uid="{C3BC04B8-E3C8-4B6D-B000-1348C8F0E233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10" authorId="0" shapeId="0" xr:uid="{D8FD1396-F326-462D-B764-69B13336D14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14" authorId="0" shapeId="0" xr:uid="{396E5BE7-A7C0-4E52-B72F-ED1E5ACDF4EC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4" authorId="0" shapeId="0" xr:uid="{97BB345E-9738-4F81-8A8C-6D77DA05F722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4" authorId="0" shapeId="0" xr:uid="{FEF3F61C-D02E-4316-AA4B-5D925DABA12A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4" authorId="0" shapeId="0" xr:uid="{B0BD1CEE-C94E-4CE2-BBAE-41D6AA18854A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5" authorId="0" shapeId="0" xr:uid="{3F76104C-7E22-4932-9A16-299534540BFB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5" authorId="0" shapeId="0" xr:uid="{5B52DE69-229A-445F-9B15-9089FF2A5661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5" authorId="0" shapeId="0" xr:uid="{FD502206-5788-44BA-BC5B-3B9C8A1993DB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5" authorId="0" shapeId="0" xr:uid="{A15933EF-8077-4FA1-955B-6CA9519A1EF9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6" authorId="0" shapeId="0" xr:uid="{A4CE87AA-F085-4AEF-99AA-5F116681894D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6" authorId="0" shapeId="0" xr:uid="{8363C71A-9C60-4DF1-B268-BC9C9777CF70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6" authorId="0" shapeId="0" xr:uid="{62F9E89A-7008-4ECA-9758-73464BAAB40A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6" authorId="0" shapeId="0" xr:uid="{A1F1190B-8207-4277-A36A-6A509E882A6A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7" authorId="0" shapeId="0" xr:uid="{8BC0276A-194F-43C1-91FD-E29977C57209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7" authorId="0" shapeId="0" xr:uid="{57234A8F-6032-4446-B670-ADD9DA483AC5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7" authorId="0" shapeId="0" xr:uid="{631E004C-C5B9-467E-BA10-871F3BC55340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7" authorId="0" shapeId="0" xr:uid="{CE0B4498-E8C0-4F8A-A047-694EF7FBDF0C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8" authorId="0" shapeId="0" xr:uid="{C2BFEC41-BDB8-4A80-9D94-B4B6CDEDF29F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8" authorId="0" shapeId="0" xr:uid="{AFC24AF4-21A9-48AE-AA8E-BCBB27C93BD5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8" authorId="0" shapeId="0" xr:uid="{C0973651-1077-4BFF-8789-717FE38933CB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8" authorId="0" shapeId="0" xr:uid="{5969F909-DC71-4F40-B2D5-E1BE5F450E29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9" authorId="0" shapeId="0" xr:uid="{2A54DB6D-5A9D-465F-9A0C-E5498874D148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9" authorId="0" shapeId="0" xr:uid="{88AB42DD-B310-4A79-9AE5-D8DFB9E494CA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9" authorId="0" shapeId="0" xr:uid="{4D48166D-F603-4C35-9E9C-86C00E353A7C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9" authorId="0" shapeId="0" xr:uid="{CE88E25C-3596-4EB7-BC50-410DC9954A86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0" authorId="0" shapeId="0" xr:uid="{88DFE266-A628-4CFD-9BC1-BE810EB2D1CC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20" authorId="0" shapeId="0" xr:uid="{4BD9CED5-C475-4BEA-9523-1B33CE1C556F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20" authorId="0" shapeId="0" xr:uid="{CE7780FA-9227-468B-9017-72BCBAD9D96C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20" authorId="0" shapeId="0" xr:uid="{26532845-739D-439D-B3BB-7B72AB5687C0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1" authorId="0" shapeId="0" xr:uid="{AD0B83A0-4BCF-4565-8B79-22FE53B05AF3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21" authorId="0" shapeId="0" xr:uid="{391AE2A3-110C-4775-92CC-D346E9BF3673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21" authorId="0" shapeId="0" xr:uid="{D5323B31-3D1F-4FE8-B0B8-35C9E4A65FEB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21" authorId="0" shapeId="0" xr:uid="{CE6433A7-F3F4-4CAE-BA22-3CDD241B2275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2" authorId="0" shapeId="0" xr:uid="{9523F1DC-64F4-460F-89FC-45549DF3291B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22" authorId="0" shapeId="0" xr:uid="{A66FE325-29E4-4929-8F2D-A814E5E93F92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22" authorId="0" shapeId="0" xr:uid="{470492CA-CD51-4B36-9D86-D67AB0D067B6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22" authorId="0" shapeId="0" xr:uid="{235694EB-EA25-4C95-8B69-2E821EEAE608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6" authorId="0" shapeId="0" xr:uid="{00BD9F70-29E4-442C-BA60-A627EA5663FC}">
      <text>
        <r>
          <rPr>
            <sz val="9"/>
            <color indexed="81"/>
            <rFont val="Tahoma"/>
            <charset val="1"/>
          </rPr>
          <t>Source: LiST</t>
        </r>
      </text>
    </comment>
    <comment ref="C27" authorId="0" shapeId="0" xr:uid="{BD97D966-2335-4CD9-A704-6EE31BD86908}">
      <text>
        <r>
          <rPr>
            <sz val="9"/>
            <color indexed="81"/>
            <rFont val="Tahoma"/>
            <charset val="1"/>
          </rPr>
          <t>Source: LiST</t>
        </r>
      </text>
    </comment>
    <comment ref="C28" authorId="0" shapeId="0" xr:uid="{BB164DD1-3CEB-4EE2-A6F0-43E0F2FB98AC}">
      <text>
        <r>
          <rPr>
            <sz val="9"/>
            <color indexed="81"/>
            <rFont val="Tahoma"/>
            <charset val="1"/>
          </rPr>
          <t>Source: LiST</t>
        </r>
      </text>
    </comment>
    <comment ref="C29" authorId="0" shapeId="0" xr:uid="{EAD9C34E-C3B3-4091-9E94-C31E407B5958}">
      <text>
        <r>
          <rPr>
            <sz val="9"/>
            <color indexed="81"/>
            <rFont val="Tahoma"/>
            <charset val="1"/>
          </rPr>
          <t>Source: LiST</t>
        </r>
      </text>
    </comment>
    <comment ref="C30" authorId="0" shapeId="0" xr:uid="{49B8706C-B73E-49D0-BF87-CDAE7382B9FC}">
      <text>
        <r>
          <rPr>
            <sz val="9"/>
            <color indexed="81"/>
            <rFont val="Tahoma"/>
            <charset val="1"/>
          </rPr>
          <t>Source: LiST</t>
        </r>
      </text>
    </comment>
    <comment ref="C31" authorId="0" shapeId="0" xr:uid="{95BC3B4B-5149-4D92-AA73-BFF5383EA90D}">
      <text>
        <r>
          <rPr>
            <sz val="9"/>
            <color indexed="81"/>
            <rFont val="Tahoma"/>
            <charset val="1"/>
          </rPr>
          <t>Source: LiST</t>
        </r>
      </text>
    </comment>
    <comment ref="C32" authorId="0" shapeId="0" xr:uid="{C8E88B0E-5A54-48FC-A337-2B05BDA10D96}">
      <text>
        <r>
          <rPr>
            <sz val="9"/>
            <color indexed="81"/>
            <rFont val="Tahoma"/>
            <charset val="1"/>
          </rPr>
          <t>Source: LiST</t>
        </r>
      </text>
    </comment>
    <comment ref="C33" authorId="0" shapeId="0" xr:uid="{75749BB8-3DF3-4396-97AB-D1D2F5227C69}">
      <text>
        <r>
          <rPr>
            <sz val="9"/>
            <color indexed="81"/>
            <rFont val="Tahoma"/>
            <charset val="1"/>
          </rPr>
          <t>Source: LiST</t>
        </r>
      </text>
    </comment>
    <comment ref="C34" authorId="0" shapeId="0" xr:uid="{0DCA186D-1B59-45FC-8604-F4735B8E0BFB}">
      <text>
        <r>
          <rPr>
            <sz val="9"/>
            <color indexed="81"/>
            <rFont val="Tahoma"/>
            <charset val="1"/>
          </rPr>
          <t>Source: 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2" authorId="0" shapeId="0" xr:uid="{EB1C9370-20A4-4B65-94CE-08FA8C3C560B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2" authorId="0" shapeId="0" xr:uid="{4E7F77BE-8945-4D62-9953-286394DA58D9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2" authorId="0" shapeId="0" xr:uid="{CEC07495-B953-4F02-A122-1222C996AE0B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2" authorId="0" shapeId="0" xr:uid="{E69A769A-598C-42BC-B74E-0E9E57378381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2" authorId="0" shapeId="0" xr:uid="{9938EF59-61B5-4A2F-BA67-567B07EF8A9E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3" authorId="0" shapeId="0" xr:uid="{377A445E-D858-4B7E-9548-683BEA4EF125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3" authorId="0" shapeId="0" xr:uid="{C24E61B9-F248-4871-B835-3C0D42E355C9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3" authorId="0" shapeId="0" xr:uid="{8DEED4EF-A28C-48C7-9112-C5E26E028B43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3" authorId="0" shapeId="0" xr:uid="{EB58D4ED-5321-48D1-9D07-D7001B831B40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3" authorId="0" shapeId="0" xr:uid="{247D07A9-EFBA-4750-BC92-B0C0A67BE59F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4" authorId="0" shapeId="0" xr:uid="{03FCE673-F898-40EA-9318-67E55B721EBC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4" authorId="0" shapeId="0" xr:uid="{9179F202-AFA3-474C-84BD-A02CDA66CF18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4" authorId="0" shapeId="0" xr:uid="{1CF7AB51-CDCF-4394-AA9E-247BA627BA2B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4" authorId="0" shapeId="0" xr:uid="{76CBEC60-FD08-46CE-A8E3-290FCFDF9E0B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4" authorId="0" shapeId="0" xr:uid="{1063E339-001E-4A2F-96E6-112D570BF0DD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5" authorId="0" shapeId="0" xr:uid="{348308A7-09E1-4FC0-9DE6-B69DF2560194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5" authorId="0" shapeId="0" xr:uid="{FD48ED4B-18A5-4F11-94DE-F5EFE0213E08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5" authorId="0" shapeId="0" xr:uid="{18B7EBBC-7A46-42AC-A90A-9AB9747CACAF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5" authorId="0" shapeId="0" xr:uid="{21793666-B813-4397-9D70-AD789572C5CB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5" authorId="0" shapeId="0" xr:uid="{543C7C3F-214F-4B59-B0F2-015A91856688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8" authorId="0" shapeId="0" xr:uid="{4110AA95-5EA0-46C4-805B-249597B1E364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D8" authorId="0" shapeId="0" xr:uid="{FBE66962-492D-446B-B575-0FCAFABA6D5F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E8" authorId="0" shapeId="0" xr:uid="{DFAE5DD2-E80F-428C-9CAC-EBF7DF1B59FE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F8" authorId="0" shapeId="0" xr:uid="{7F868D03-16F8-4A74-B10B-823B42632712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G8" authorId="0" shapeId="0" xr:uid="{C1BF2D60-1948-4624-8F20-E6BA4AD61831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C9" authorId="0" shapeId="0" xr:uid="{7E7F4F49-7C91-45D5-B7B3-53AA8D9FF885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D9" authorId="0" shapeId="0" xr:uid="{5E82FBEB-36E2-43A8-8714-EE65A61BE77D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E9" authorId="0" shapeId="0" xr:uid="{3C302B64-AEB1-4DCD-B5F6-4E41CE806BBC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F9" authorId="0" shapeId="0" xr:uid="{1341DF56-486D-481A-8F61-B6DF30DC852F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G9" authorId="0" shapeId="0" xr:uid="{DD38BBCE-3BF2-4EC5-8479-98101A74AF53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C10" authorId="0" shapeId="0" xr:uid="{C3BFB45E-1BD6-41BB-9CB3-226BC0BAB6D2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D10" authorId="0" shapeId="0" xr:uid="{8773472F-C6E6-42D1-A267-EFE67756A48D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E10" authorId="0" shapeId="0" xr:uid="{F738C71D-83CB-4BB7-8AD7-7A5FE462399D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F10" authorId="0" shapeId="0" xr:uid="{397838CA-8E36-4497-A176-FDC51D0A5265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G10" authorId="0" shapeId="0" xr:uid="{13853092-E2DB-4BA4-8808-B031AF2F6AF0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C11" authorId="0" shapeId="0" xr:uid="{8D22E0D5-318C-4704-9E0D-9CCED037EFF2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D11" authorId="0" shapeId="0" xr:uid="{C8193089-571A-4314-BCE8-96411D4C63B3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E11" authorId="0" shapeId="0" xr:uid="{4427CEAB-40D9-4146-8A68-E0D77EF393A3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F11" authorId="0" shapeId="0" xr:uid="{60ACC2A7-9E79-4A0F-A033-5AACE41FA392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G11" authorId="0" shapeId="0" xr:uid="{CCB4A2D2-B0C9-4A1A-A6C5-59B39B894BA6}">
      <text>
        <r>
          <rPr>
            <sz val="9"/>
            <color indexed="81"/>
            <rFont val="Tahoma"/>
            <charset val="1"/>
          </rPr>
          <t>Source: Dom Delport:
DHS/LiST</t>
        </r>
      </text>
    </comment>
    <comment ref="C14" authorId="0" shapeId="0" xr:uid="{9DE6441A-AB7E-4613-893E-BBCB8BFCE53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14" authorId="0" shapeId="0" xr:uid="{E7BD85B0-D751-480A-B606-840C7A3B267B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4" authorId="0" shapeId="0" xr:uid="{F70EEDF0-8B89-4233-B734-A1302067E7F5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F14" authorId="0" shapeId="0" xr:uid="{3A3720EC-6224-4933-9F0F-EE78A0607EBB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G14" authorId="0" shapeId="0" xr:uid="{34D4DB1B-CB1B-46DC-B587-831B38E80180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H14" authorId="0" shapeId="0" xr:uid="{A4B899E9-E620-4BF8-B83F-2FD027590A27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I14" authorId="0" shapeId="0" xr:uid="{C46F015F-6FE9-4759-B7ED-BE1683FC51AF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J14" authorId="0" shapeId="0" xr:uid="{FF2FB40E-6B56-4182-AE45-92744A04F2C2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K14" authorId="0" shapeId="0" xr:uid="{58FB55FE-CA0D-4B4D-B132-D4558F36795E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L14" authorId="0" shapeId="0" xr:uid="{764C2DE6-2EB0-4AA8-A8CF-3C9C0B61AB6F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14" authorId="0" shapeId="0" xr:uid="{CEF30C08-CE38-40E2-9B97-8C6789A4A28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14" authorId="0" shapeId="0" xr:uid="{B2D49F53-C04F-42AF-A4EE-F682305C5C1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14" authorId="0" shapeId="0" xr:uid="{44FAD72E-3725-4C63-B820-BCBCA6B04DD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  <author>Dominic Delport</author>
  </authors>
  <commentList>
    <comment ref="C2" authorId="0" shapeId="0" xr:uid="{171CD703-996F-4611-8878-32A0DF19C1E0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D2" authorId="0" shapeId="0" xr:uid="{8B5DB330-2C76-451E-9501-5F31DAAE8540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G2" authorId="1" shapeId="0" xr:uid="{6B0A09E8-7C93-4372-8C15-8B0F45D5AEFD}">
      <text>
        <r>
          <rPr>
            <sz val="9"/>
            <color indexed="81"/>
            <rFont val="Tahoma"/>
            <family val="2"/>
          </rPr>
          <t xml:space="preserve">No data available
</t>
        </r>
      </text>
    </comment>
    <comment ref="C3" authorId="0" shapeId="0" xr:uid="{B82EDBBF-FB37-40F3-A193-A0C8F1FF3711}">
      <text>
        <r>
          <rPr>
            <sz val="9"/>
            <color indexed="81"/>
            <rFont val="Tahoma"/>
            <charset val="1"/>
          </rPr>
          <t>Source: LiST</t>
        </r>
      </text>
    </comment>
    <comment ref="D3" authorId="0" shapeId="0" xr:uid="{6F8896C5-0932-4B63-A5E5-3E165261656E}">
      <text>
        <r>
          <rPr>
            <sz val="9"/>
            <color indexed="81"/>
            <rFont val="Tahoma"/>
            <charset val="1"/>
          </rPr>
          <t>Source: LiST</t>
        </r>
      </text>
    </comment>
    <comment ref="G3" authorId="1" shapeId="0" xr:uid="{F82038E1-BF1B-4424-AEC2-4BAF11F0EBE0}">
      <text>
        <r>
          <rPr>
            <sz val="9"/>
            <color indexed="81"/>
            <rFont val="Tahoma"/>
            <family val="2"/>
          </rPr>
          <t xml:space="preserve">No data available
</t>
        </r>
      </text>
    </comment>
    <comment ref="C4" authorId="0" shapeId="0" xr:uid="{A120997F-D6B0-4007-9C2D-ABAE55D08F98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D4" authorId="0" shapeId="0" xr:uid="{BF36DDF3-1F74-40CE-8EB8-A03EDCD7C79E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E4" authorId="0" shapeId="0" xr:uid="{7D9FBD04-BD18-4050-80FD-0653B68DFDAC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F4" authorId="0" shapeId="0" xr:uid="{AC87EBCF-97B7-4912-A1AD-D7A85C6D1C5F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G4" authorId="1" shapeId="0" xr:uid="{FAE873A1-7BE6-4206-AB91-1C6BBEAAB062}">
      <text>
        <r>
          <rPr>
            <sz val="9"/>
            <color indexed="81"/>
            <rFont val="Tahoma"/>
            <family val="2"/>
          </rPr>
          <t xml:space="preserve">No data available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2" authorId="0" shapeId="0" xr:uid="{19A51C4A-9714-4D78-BF15-A2ABE1BB5D86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2" authorId="0" shapeId="0" xr:uid="{EAE201BB-5374-46A5-A72F-EA6769DA5034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E2" authorId="0" shapeId="0" xr:uid="{17C3BDA1-49EF-45AF-8E62-6C39E31AB76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F2" authorId="0" shapeId="0" xr:uid="{5E132470-E209-4CCB-87E4-D416CADE564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G2" authorId="0" shapeId="0" xr:uid="{B34DDD1B-8DCA-405B-B6FC-1301231B38FF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H2" authorId="0" shapeId="0" xr:uid="{53E6D8F6-D174-4622-9FE2-B1BBB9D4D46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I2" authorId="0" shapeId="0" xr:uid="{83665257-866F-4E3B-9AA3-218E11877F0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J2" authorId="0" shapeId="0" xr:uid="{B17189E5-2BA0-4035-8723-D835214B7603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K2" authorId="0" shapeId="0" xr:uid="{B488EFBE-727E-4B51-B127-36FD7868EB1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L2" authorId="0" shapeId="0" xr:uid="{3577B1C6-B147-49E5-B66F-CEAB230AF1B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2" authorId="0" shapeId="0" xr:uid="{19DD19D5-A014-4A48-B2BA-E8FEEE73888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2" authorId="0" shapeId="0" xr:uid="{A8814622-C9C3-4A71-8DF4-BCED2265B6C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2" authorId="0" shapeId="0" xr:uid="{35090FBE-54A7-4770-9D0D-4384711B1F9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P2" authorId="0" shapeId="0" xr:uid="{C038F83A-978F-49C5-BAC5-FD71E9CD491E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4" authorId="0" shapeId="0" xr:uid="{EA22E370-FDEC-40BB-BD54-9335FAA4539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4" authorId="0" shapeId="0" xr:uid="{7FB92D7E-1230-41DA-9ECE-3F135C5B5E9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E4" authorId="0" shapeId="0" xr:uid="{194A1B21-A6AF-4BB2-AD20-138FA75B29C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F4" authorId="0" shapeId="0" xr:uid="{9C21FC03-D3FE-4B54-AD09-9852CE8E038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G4" authorId="0" shapeId="0" xr:uid="{200A6E6B-D0A4-4CB2-8364-F30F8FD6C383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H4" authorId="0" shapeId="0" xr:uid="{BB851F66-2BB8-4DA3-B48E-8DFF163FAF8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I4" authorId="0" shapeId="0" xr:uid="{FCAEA278-C331-4FF2-92AF-E377D219E26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J4" authorId="0" shapeId="0" xr:uid="{63FFCE73-8002-458E-BC23-AFCB188AECDE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K4" authorId="0" shapeId="0" xr:uid="{AC4F377D-7C78-49AB-B963-E713193856C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L4" authorId="0" shapeId="0" xr:uid="{601A4FBD-2504-44F4-80E9-9BFD3A7ED4A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4" authorId="0" shapeId="0" xr:uid="{C71F9B63-B60F-466F-947B-22BDFCC4441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4" authorId="0" shapeId="0" xr:uid="{93C8B01E-E503-4ECE-BCD4-CDA290CC229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4" authorId="0" shapeId="0" xr:uid="{665931A0-3067-4159-90CF-E0D897E4CD7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P4" authorId="0" shapeId="0" xr:uid="{486D24DF-7113-4D2F-AA06-200B3760D74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13" authorId="0" shapeId="0" xr:uid="{C5316B0A-2C38-4EB0-B3A7-6FCA1699511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13" authorId="0" shapeId="0" xr:uid="{C5FAFBEB-6D90-483A-92A5-4FDA772F2FE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E13" authorId="0" shapeId="0" xr:uid="{85C2B95A-FA45-47E5-8514-E90F0ACCE5A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F13" authorId="0" shapeId="0" xr:uid="{AF1E5F17-87E3-4454-98E9-4F2E895FE26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G13" authorId="0" shapeId="0" xr:uid="{5C0E6E6D-7C5F-45BD-86CC-F7545715262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H13" authorId="0" shapeId="0" xr:uid="{AAFEFC7D-9597-4350-BCF8-00DA0D2E20FE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I13" authorId="0" shapeId="0" xr:uid="{19A71C0C-56EC-4B04-A52B-41E8D777204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J13" authorId="0" shapeId="0" xr:uid="{3BFCFB17-95FF-4692-B511-5739D0C84C1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K13" authorId="0" shapeId="0" xr:uid="{D61A4BDC-EE72-456F-A84F-43462C946FF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L13" authorId="0" shapeId="0" xr:uid="{E0F99159-79FE-4EC1-B901-1D40DD033563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13" authorId="0" shapeId="0" xr:uid="{B859FF00-8A64-445A-B1D4-52C6E0502BC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13" authorId="0" shapeId="0" xr:uid="{ED69B438-29B3-4A89-911D-79A187473EE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13" authorId="0" shapeId="0" xr:uid="{1E363723-7234-4FC8-9D14-BD5BB61FEEB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P13" authorId="0" shapeId="0" xr:uid="{5CB00CD6-4274-42A9-A9E2-E23525A4022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B2" authorId="0" shapeId="0" xr:uid="{F10EA8D5-71DA-4ED0-AA47-0B840C4A7566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2" authorId="0" shapeId="0" xr:uid="{DD5E9976-EDED-4D0F-92E4-031FD5C44CAB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3" authorId="0" shapeId="0" xr:uid="{3B50746A-7CC2-4CB7-9D45-3ED5A8381C44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3" authorId="0" shapeId="0" xr:uid="{909ECEC4-1E3F-4E99-BE36-DDDA6AC98997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D4" authorId="0" shapeId="0" xr:uid="{1E8EB51B-DF3D-4164-B2AC-F93F341905D9}">
      <text>
        <r>
          <rPr>
            <sz val="9"/>
            <color indexed="81"/>
            <rFont val="Tahoma"/>
            <charset val="1"/>
          </rPr>
          <t>Source: 10% of GDP per capita</t>
        </r>
      </text>
    </comment>
    <comment ref="D5" authorId="0" shapeId="0" xr:uid="{67118ED1-EB33-4ACE-9D1E-9ED71A59EACB}">
      <text>
        <r>
          <rPr>
            <sz val="9"/>
            <color indexed="81"/>
            <rFont val="Tahoma"/>
            <charset val="1"/>
          </rPr>
          <t>Source: Personnel wages based on 2016 GDP per capita and time requirements estimated by authors</t>
        </r>
      </text>
    </comment>
    <comment ref="B7" authorId="0" shapeId="0" xr:uid="{E8082C5D-D6BC-404C-A559-82513A3CF2B3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7" authorId="0" shapeId="0" xr:uid="{6118D2AE-2A95-4BB5-8137-F60011B47607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8" authorId="0" shapeId="0" xr:uid="{1F19A604-099A-4853-BDC1-81F86C14A700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8" authorId="0" shapeId="0" xr:uid="{3292AB40-02ED-4BD2-9357-0DE68A274E47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9" authorId="0" shapeId="0" xr:uid="{EE9A31BA-48AA-4DB1-8122-E4E425922444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9" authorId="0" shapeId="0" xr:uid="{1D14CF17-CDAE-4825-AEF1-0EA74E2D0625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10" authorId="0" shapeId="0" xr:uid="{8433052A-D017-445D-AF4D-AD65A812D438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0" authorId="0" shapeId="0" xr:uid="{1184A83D-BF8C-4478-92C6-C62B359488C9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1" authorId="0" shapeId="0" xr:uid="{C64B3293-3E7F-4F54-A941-F000DFB222DE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1" authorId="0" shapeId="0" xr:uid="{17CFCEA2-F030-4F3F-A3AA-12453DED6E85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2" authorId="0" shapeId="0" xr:uid="{0FE606F2-F958-41EE-8795-94C2E00851D0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2" authorId="0" shapeId="0" xr:uid="{5337DF0B-48CF-4DD9-AF7A-0AFD4DF99188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3" authorId="0" shapeId="0" xr:uid="{BD3A47F9-9306-48FE-BA28-E361AD1ADAC6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3" authorId="0" shapeId="0" xr:uid="{A5EBB6DD-051F-4397-BEC4-3E31B3FFEC1B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4" authorId="0" shapeId="0" xr:uid="{95FAB502-30FB-4AFE-A573-D7989F3D189B}">
      <text>
        <r>
          <rPr>
            <sz val="9"/>
            <color indexed="81"/>
            <rFont val="Tahoma"/>
            <charset val="1"/>
          </rPr>
          <t>Source: LiST</t>
        </r>
      </text>
    </comment>
    <comment ref="D14" authorId="0" shapeId="0" xr:uid="{3B3080C9-947B-421C-AC8B-B1F797A65A8B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5" authorId="0" shapeId="0" xr:uid="{264916D5-A632-4045-9D43-DEC3796D3470}">
      <text>
        <r>
          <rPr>
            <sz val="9"/>
            <color indexed="81"/>
            <rFont val="Tahoma"/>
            <charset val="1"/>
          </rPr>
          <t>Source: LiST</t>
        </r>
      </text>
    </comment>
    <comment ref="D15" authorId="0" shapeId="0" xr:uid="{74651804-E4D0-482A-AD98-397B1C71927A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6" authorId="0" shapeId="0" xr:uid="{CC2198A8-E1FA-42F1-AFB5-81F8C73C0152}">
      <text>
        <r>
          <rPr>
            <sz val="9"/>
            <color indexed="81"/>
            <rFont val="Tahoma"/>
            <charset val="1"/>
          </rPr>
          <t>Source: LiST</t>
        </r>
      </text>
    </comment>
    <comment ref="D16" authorId="0" shapeId="0" xr:uid="{D046962D-B944-4B8C-8918-CA7B4E7C2B3B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7" authorId="0" shapeId="0" xr:uid="{490AB947-C45C-44D6-A3D2-CF3D8ACC9D3D}">
      <text>
        <r>
          <rPr>
            <sz val="9"/>
            <color indexed="81"/>
            <rFont val="Tahoma"/>
            <charset val="1"/>
          </rPr>
          <t>Source: UNICEF State of the World's Children coverage map 2017 &lt;http://www.ign.org/cm_data/UNICEF_map.jpg&gt;</t>
        </r>
      </text>
    </comment>
    <comment ref="D17" authorId="0" shapeId="0" xr:uid="{8A292E31-878C-4182-B9F1-53C99806E3BF}">
      <text>
        <r>
          <rPr>
            <sz val="9"/>
            <color indexed="81"/>
            <rFont val="Tahoma"/>
            <charset val="1"/>
          </rPr>
          <t>Source: Costing based upon estimates by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8" authorId="0" shapeId="0" xr:uid="{65FEE8DD-7021-4218-A479-D1A2DEBAB897}">
      <text>
        <r>
          <rPr>
            <sz val="9"/>
            <color indexed="81"/>
            <rFont val="Tahoma"/>
            <charset val="1"/>
          </rPr>
          <t>Source: LiST</t>
        </r>
      </text>
    </comment>
    <comment ref="D18" authorId="0" shapeId="0" xr:uid="{1661BEDC-EECE-46D6-97A9-1EF6C1C14998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19" authorId="0" shapeId="0" xr:uid="{42775E10-30EA-4AC4-AD28-B2C9C4FFD20D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20" authorId="0" shapeId="0" xr:uid="{DBA1FC02-DFA4-48D8-BAC1-68DA655EFB92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21" authorId="0" shapeId="0" xr:uid="{5D73F3A8-FE67-42C9-B4C6-B3E1A26F8A50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21" authorId="0" shapeId="0" xr:uid="{53588FC8-B841-4A8D-A9D0-F33BABCD75A1}">
      <text>
        <r>
          <rPr>
            <sz val="9"/>
            <color indexed="81"/>
            <rFont val="Tahoma"/>
            <charset val="1"/>
          </rPr>
          <t>Source: Personnel wages based on 2016 GDP per capita and time requirements estimated by authors</t>
        </r>
      </text>
    </comment>
    <comment ref="D22" authorId="0" shapeId="0" xr:uid="{407959FF-6A63-4175-A1D7-7B05E40CBC8E}">
      <text>
        <r>
          <rPr>
            <sz val="9"/>
            <color indexed="81"/>
            <rFont val="Tahoma"/>
            <charset val="1"/>
          </rPr>
          <t xml:space="preserve">Source: </t>
        </r>
      </text>
    </comment>
    <comment ref="B23" authorId="0" shapeId="0" xr:uid="{C802618D-A3DD-4250-B5F1-954300220046}">
      <text>
        <r>
          <rPr>
            <sz val="9"/>
            <color indexed="81"/>
            <rFont val="Tahoma"/>
            <charset val="1"/>
          </rPr>
          <t>Source: LiST</t>
        </r>
      </text>
    </comment>
    <comment ref="D23" authorId="0" shapeId="0" xr:uid="{C36829E3-8ED9-45F8-A4BC-A5616C413704}">
      <text>
        <r>
          <rPr>
            <sz val="9"/>
            <color indexed="81"/>
            <rFont val="Tahoma"/>
            <charset val="1"/>
          </rPr>
          <t>Source: Material costs taken from 2014 WHO International Drug Pricing &lt;http://apps.who.int/medicinedocs/documents/s21982en/s21982en.pdf&gt;,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4" authorId="0" shapeId="0" xr:uid="{067690C0-DE6C-484E-9326-7E611BDC1416}">
      <text>
        <r>
          <rPr>
            <sz val="9"/>
            <color indexed="81"/>
            <rFont val="Tahoma"/>
            <charset val="1"/>
          </rPr>
          <t>Source: LiST</t>
        </r>
      </text>
    </comment>
    <comment ref="D24" authorId="0" shapeId="0" xr:uid="{443ADF76-D6D8-4823-82BB-4208F4940470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5" authorId="0" shapeId="0" xr:uid="{7CC0EF58-5267-40D1-9CAE-4C4D786E3DAA}">
      <text>
        <r>
          <rPr>
            <sz val="9"/>
            <color indexed="81"/>
            <rFont val="Tahoma"/>
            <charset val="1"/>
          </rPr>
          <t>Source: LiST</t>
        </r>
      </text>
    </comment>
    <comment ref="D25" authorId="0" shapeId="0" xr:uid="{CCFF8A2A-31D3-4A7B-B7AC-E80D9BA27F92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6" authorId="0" shapeId="0" xr:uid="{9C26CE1D-2138-4EFA-92B0-4593403E35A3}">
      <text>
        <r>
          <rPr>
            <sz val="9"/>
            <color indexed="81"/>
            <rFont val="Tahoma"/>
            <charset val="1"/>
          </rPr>
          <t>Source: LiST</t>
        </r>
      </text>
    </comment>
    <comment ref="D26" authorId="0" shapeId="0" xr:uid="{85853BE2-F528-418F-A106-9C386E87FC93}">
      <text>
        <r>
          <rPr>
            <sz val="9"/>
            <color indexed="81"/>
            <rFont val="Tahoma"/>
            <charset val="1"/>
          </rPr>
          <t>Source: Drug dosages taken from WHO eLENA, drug costs taken from UNICEF pricing list at &lt;https://www.unicef.org/supply/files/Micro_Nutrient_Powder_-_September_2016(1).pdf&gt;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7" authorId="0" shapeId="0" xr:uid="{066347CD-C926-4C61-91FD-E22A1855BDE1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27" authorId="0" shapeId="0" xr:uid="{2F0E3BCA-3B4A-4C58-A302-E9B0C0EEDFE8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28" authorId="0" shapeId="0" xr:uid="{975B7DEC-410B-42BB-A729-F686EFDEEAC3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D28" authorId="0" shapeId="0" xr:uid="{088F1B7D-DE33-4FAB-994B-1E5D1635BB50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9" authorId="0" shapeId="0" xr:uid="{6BCAB8E3-7157-493C-8EDE-7FF376CB1700}">
      <text>
        <r>
          <rPr>
            <sz val="9"/>
            <color indexed="81"/>
            <rFont val="Tahoma"/>
            <charset val="1"/>
          </rPr>
          <t>Source: LiST</t>
        </r>
      </text>
    </comment>
    <comment ref="D29" authorId="0" shapeId="0" xr:uid="{B9F4AACB-E456-40E5-87B3-32128A24D649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30" authorId="0" shapeId="0" xr:uid="{2ED75FD3-0692-4156-AFB4-0086B027CD44}">
      <text>
        <r>
          <rPr>
            <sz val="9"/>
            <color indexed="81"/>
            <rFont val="Tahoma"/>
            <charset val="1"/>
          </rPr>
          <t>Source: LiST</t>
        </r>
      </text>
    </comment>
    <comment ref="D30" authorId="0" shapeId="0" xr:uid="{215C93A7-F61F-45A6-9C1F-AFE17C22056E}">
      <text>
        <r>
          <rPr>
            <sz val="9"/>
            <color indexed="81"/>
            <rFont val="Tahoma"/>
            <charset val="1"/>
          </rPr>
          <t xml:space="preserve">Source: </t>
        </r>
      </text>
    </comment>
    <comment ref="B31" authorId="0" shapeId="0" xr:uid="{E57BC6EA-732D-4851-8480-3E3C910A9DE7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D31" authorId="0" shapeId="0" xr:uid="{2D712B59-6100-49A4-ADBA-ECF50C0DE587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32" authorId="0" shapeId="0" xr:uid="{47ABBDFA-8F53-4957-9221-963868F9B9E1}">
      <text>
        <r>
          <rPr>
            <sz val="9"/>
            <color indexed="81"/>
            <rFont val="Tahoma"/>
            <charset val="1"/>
          </rPr>
          <t>Source: LiST</t>
        </r>
      </text>
    </comment>
    <comment ref="B33" authorId="0" shapeId="0" xr:uid="{5214792E-E0BA-4F97-B1CB-EBAB448FCA1C}">
      <text>
        <r>
          <rPr>
            <sz val="9"/>
            <color indexed="81"/>
            <rFont val="Tahoma"/>
            <charset val="1"/>
          </rPr>
          <t>Source: LiST</t>
        </r>
      </text>
    </comment>
    <comment ref="B34" authorId="0" shapeId="0" xr:uid="{7E840996-A19B-40F5-A23E-EC2C924F39DC}">
      <text>
        <r>
          <rPr>
            <sz val="9"/>
            <color indexed="81"/>
            <rFont val="Tahoma"/>
            <charset val="1"/>
          </rPr>
          <t>Source: LiST</t>
        </r>
      </text>
    </comment>
    <comment ref="B35" authorId="0" shapeId="0" xr:uid="{57786CF5-6543-4B30-8C91-C6E26B9A13A0}">
      <text>
        <r>
          <rPr>
            <sz val="9"/>
            <color indexed="81"/>
            <rFont val="Tahoma"/>
            <charset val="1"/>
          </rPr>
          <t>Source: LiST</t>
        </r>
      </text>
    </comment>
    <comment ref="B36" authorId="0" shapeId="0" xr:uid="{8A7CA31D-B712-4CAF-A98E-E1FF0AA10F8C}">
      <text>
        <r>
          <rPr>
            <sz val="9"/>
            <color indexed="81"/>
            <rFont val="Tahoma"/>
            <charset val="1"/>
          </rPr>
          <t>Source: LiST</t>
        </r>
      </text>
    </comment>
    <comment ref="B37" authorId="0" shapeId="0" xr:uid="{A001DA78-D6E5-4D17-AE08-5442F4E16B3E}">
      <text>
        <r>
          <rPr>
            <sz val="9"/>
            <color indexed="81"/>
            <rFont val="Tahoma"/>
            <charset val="1"/>
          </rPr>
          <t>Source: LiST</t>
        </r>
      </text>
    </comment>
    <comment ref="D37" authorId="0" shapeId="0" xr:uid="{04D518A7-BD5F-491F-8E29-7B8C48E60B8A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38" authorId="0" shapeId="0" xr:uid="{CB730958-9125-449B-B164-A28E8F51B687}">
      <text>
        <r>
          <rPr>
            <sz val="9"/>
            <color indexed="81"/>
            <rFont val="Tahoma"/>
            <charset val="1"/>
          </rPr>
          <t>Source: DHS</t>
        </r>
      </text>
    </comment>
    <comment ref="D38" authorId="0" shapeId="0" xr:uid="{64A4E592-A5A5-49E6-B54D-423CF0B7B070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<sst xmlns="http://schemas.openxmlformats.org/spreadsheetml/2006/main" count="1102" uniqueCount="271">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</sst>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9" fillId="3" borderId="1" xfId="725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7" zoomScaleNormal="100" workbookViewId="0">
      <selection activeCell="C45" sqref="C45"/>
    </sheetView>
  </sheetViews>
  <sheetFormatPr defaultColWidth="14.453125" defaultRowHeight="15.75" customHeight="1" x14ac:dyDescent="0.25"/>
  <cols>
    <col min="1" max="1" width="27.7265625" style="12" customWidth="1"/>
    <col min="2" max="2" width="38.7265625" style="16" customWidth="1"/>
    <col min="3" max="16384" width="14.453125" style="12"/>
  </cols>
  <sheetData>
    <row r="1" spans="1:3" ht="16" customHeight="1" x14ac:dyDescent="0.3">
      <c r="A1" s="1" t="s">
        <v>100</v>
      </c>
      <c r="B1" s="41" t="s">
        <v>164</v>
      </c>
      <c r="C1" s="41" t="s">
        <v>165</v>
      </c>
    </row>
    <row r="2" spans="1:3" ht="16" customHeight="1" x14ac:dyDescent="0.3">
      <c r="A2" s="12" t="s">
        <v>191</v>
      </c>
      <c r="B2" s="41"/>
      <c r="C2" s="41"/>
    </row>
    <row r="3" spans="1:3" ht="16" customHeight="1" x14ac:dyDescent="0.3">
      <c r="A3" s="1"/>
      <c r="B3" s="7" t="s">
        <v>193</v>
      </c>
      <c r="C3" s="67">
        <v>2017</v>
      </c>
    </row>
    <row r="4" spans="1:3" ht="16" customHeight="1" x14ac:dyDescent="0.3">
      <c r="A4" s="1"/>
      <c r="B4" s="9" t="s">
        <v>192</v>
      </c>
      <c r="C4" s="68">
        <v>2030</v>
      </c>
    </row>
    <row r="5" spans="1:3" ht="16" customHeight="1" x14ac:dyDescent="0.3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2971313</v>
      </c>
    </row>
    <row r="8" spans="1:3" ht="15" customHeight="1" x14ac:dyDescent="0.25">
      <c r="B8" s="7" t="s">
        <v>106</v>
      </c>
      <c r="C8" s="70">
        <v>0.33100000000000002</v>
      </c>
    </row>
    <row r="9" spans="1:3" ht="15" customHeight="1" x14ac:dyDescent="0.25">
      <c r="B9" s="9" t="s">
        <v>107</v>
      </c>
      <c r="C9" s="71">
        <v>5.0000000000000001E-3</v>
      </c>
    </row>
    <row r="10" spans="1:3" ht="15" customHeight="1" x14ac:dyDescent="0.25">
      <c r="B10" s="9" t="s">
        <v>105</v>
      </c>
      <c r="C10" s="71">
        <v>0.73104637145996099</v>
      </c>
    </row>
    <row r="11" spans="1:3" ht="15" customHeight="1" x14ac:dyDescent="0.25">
      <c r="B11" s="7" t="s">
        <v>108</v>
      </c>
      <c r="C11" s="70">
        <v>0.96200000000000008</v>
      </c>
    </row>
    <row r="12" spans="1:3" ht="15" customHeight="1" x14ac:dyDescent="0.25">
      <c r="B12" s="7" t="s">
        <v>109</v>
      </c>
      <c r="C12" s="70">
        <v>0.72</v>
      </c>
    </row>
    <row r="13" spans="1:3" ht="15" customHeight="1" x14ac:dyDescent="0.25">
      <c r="B13" s="7" t="s">
        <v>110</v>
      </c>
      <c r="C13" s="70">
        <v>0.17</v>
      </c>
    </row>
    <row r="14" spans="1:3" ht="15" customHeight="1" x14ac:dyDescent="0.25">
      <c r="B14" s="12"/>
    </row>
    <row r="15" spans="1:3" ht="15" customHeight="1" x14ac:dyDescent="0.3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0.18629999999999999</v>
      </c>
    </row>
    <row r="24" spans="1:3" ht="15" customHeight="1" x14ac:dyDescent="0.25">
      <c r="B24" s="20" t="s">
        <v>102</v>
      </c>
      <c r="C24" s="71">
        <v>0.53220000000000001</v>
      </c>
    </row>
    <row r="25" spans="1:3" ht="15" customHeight="1" x14ac:dyDescent="0.25">
      <c r="B25" s="20" t="s">
        <v>103</v>
      </c>
      <c r="C25" s="71">
        <v>0.24539999999999998</v>
      </c>
    </row>
    <row r="26" spans="1:3" ht="15" customHeight="1" x14ac:dyDescent="0.25">
      <c r="B26" s="20" t="s">
        <v>104</v>
      </c>
      <c r="C26" s="71">
        <v>3.61E-2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0.35700000000000004</v>
      </c>
    </row>
    <row r="30" spans="1:3" ht="14.25" customHeight="1" x14ac:dyDescent="0.25">
      <c r="B30" s="30" t="s">
        <v>76</v>
      </c>
      <c r="C30" s="73">
        <v>6.6000000000000003E-2</v>
      </c>
    </row>
    <row r="31" spans="1:3" ht="14.25" customHeight="1" x14ac:dyDescent="0.25">
      <c r="B31" s="30" t="s">
        <v>77</v>
      </c>
      <c r="C31" s="73">
        <v>9.3000000000000013E-2</v>
      </c>
    </row>
    <row r="32" spans="1:3" ht="14.25" customHeight="1" x14ac:dyDescent="0.25">
      <c r="B32" s="30" t="s">
        <v>78</v>
      </c>
      <c r="C32" s="73">
        <v>0.48399999998509885</v>
      </c>
    </row>
    <row r="33" spans="1:5" ht="13" x14ac:dyDescent="0.25">
      <c r="B33" s="32" t="s">
        <v>129</v>
      </c>
      <c r="C33" s="74">
        <f>SUM(C29:C32)</f>
        <v>0.99999999998509881</v>
      </c>
    </row>
    <row r="34" spans="1:5" ht="15" customHeight="1" x14ac:dyDescent="0.25"/>
    <row r="35" spans="1:5" ht="15" customHeight="1" x14ac:dyDescent="0.3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19.8</v>
      </c>
    </row>
    <row r="38" spans="1:5" ht="15" customHeight="1" x14ac:dyDescent="0.25">
      <c r="B38" s="16" t="s">
        <v>91</v>
      </c>
      <c r="C38" s="75">
        <v>25.7</v>
      </c>
      <c r="D38" s="17"/>
      <c r="E38" s="18"/>
    </row>
    <row r="39" spans="1:5" ht="15" customHeight="1" x14ac:dyDescent="0.25">
      <c r="B39" s="16" t="s">
        <v>90</v>
      </c>
      <c r="C39" s="75">
        <v>30.9</v>
      </c>
      <c r="D39" s="17"/>
      <c r="E39" s="17"/>
    </row>
    <row r="40" spans="1:5" ht="15" customHeight="1" x14ac:dyDescent="0.25">
      <c r="B40" s="16" t="s">
        <v>171</v>
      </c>
      <c r="C40" s="75">
        <v>0.95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7.1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1.8799999999999997E-2</v>
      </c>
      <c r="D45" s="17"/>
    </row>
    <row r="46" spans="1:5" ht="15.75" customHeight="1" x14ac:dyDescent="0.25">
      <c r="B46" s="16" t="s">
        <v>11</v>
      </c>
      <c r="C46" s="71">
        <v>7.1399999999999991E-2</v>
      </c>
      <c r="D46" s="17"/>
    </row>
    <row r="47" spans="1:5" ht="15.75" customHeight="1" x14ac:dyDescent="0.25">
      <c r="B47" s="16" t="s">
        <v>12</v>
      </c>
      <c r="C47" s="71">
        <v>0.1104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0.79939999999999989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7.6938949396924974</v>
      </c>
      <c r="D51" s="17"/>
    </row>
    <row r="52" spans="1:4" ht="15" customHeight="1" x14ac:dyDescent="0.25">
      <c r="B52" s="16" t="s">
        <v>125</v>
      </c>
      <c r="C52" s="76">
        <v>5.4550098378199898</v>
      </c>
    </row>
    <row r="53" spans="1:4" ht="15.75" customHeight="1" x14ac:dyDescent="0.25">
      <c r="B53" s="16" t="s">
        <v>126</v>
      </c>
      <c r="C53" s="76">
        <v>5.4550098378199898</v>
      </c>
    </row>
    <row r="54" spans="1:4" ht="15.75" customHeight="1" x14ac:dyDescent="0.25">
      <c r="B54" s="16" t="s">
        <v>127</v>
      </c>
      <c r="C54" s="76">
        <v>2.7709233906000001</v>
      </c>
    </row>
    <row r="55" spans="1:4" ht="15.75" customHeight="1" x14ac:dyDescent="0.25">
      <c r="B55" s="16" t="s">
        <v>128</v>
      </c>
      <c r="C55" s="76">
        <v>2.7709233906000001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1.9347037484885126E-2</v>
      </c>
    </row>
    <row r="59" spans="1:4" ht="15.75" customHeight="1" x14ac:dyDescent="0.25">
      <c r="B59" s="16" t="s">
        <v>132</v>
      </c>
      <c r="C59" s="70">
        <v>0.55015016846297626</v>
      </c>
    </row>
    <row r="63" spans="1:4" ht="15.75" customHeight="1" x14ac:dyDescent="0.3">
      <c r="A63" s="4"/>
    </row>
  </sheetData>
  <sheetProtection password="CA9F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C19" sqref="C19"/>
    </sheetView>
  </sheetViews>
  <sheetFormatPr defaultColWidth="14.453125" defaultRowHeight="15.75" customHeight="1" x14ac:dyDescent="0.25"/>
  <cols>
    <col min="1" max="1" width="8.453125" style="12" customWidth="1"/>
    <col min="2" max="9" width="16.81640625" style="12" customWidth="1"/>
    <col min="10" max="16384" width="14.453125" style="12"/>
  </cols>
  <sheetData>
    <row r="1" spans="1:9" s="21" customFormat="1" ht="30" customHeight="1" x14ac:dyDescent="0.3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2017</v>
      </c>
      <c r="B2" s="77">
        <v>599090.312775</v>
      </c>
      <c r="C2" s="78">
        <v>1378400</v>
      </c>
      <c r="D2" s="78">
        <v>2697717</v>
      </c>
      <c r="E2" s="78">
        <v>7833220</v>
      </c>
      <c r="F2" s="78">
        <v>6570626</v>
      </c>
      <c r="G2" s="22">
        <f t="shared" ref="G2:G40" si="0">C2+D2+E2+F2</f>
        <v>18479963</v>
      </c>
      <c r="H2" s="22">
        <f t="shared" ref="H2:H40" si="1">(B2 + stillbirth*B2/(1000-stillbirth))/(1-abortion)</f>
        <v>693533.64378466422</v>
      </c>
      <c r="I2" s="22">
        <f>G2-H2</f>
        <v>17786429.356215335</v>
      </c>
    </row>
    <row r="3" spans="1:9" ht="15.75" customHeight="1" x14ac:dyDescent="0.25">
      <c r="A3" s="7">
        <f t="shared" ref="A3:A40" si="2">IF($A$2+ROW(A3)-2&lt;=end_year,A2+1,"")</f>
        <v>2018</v>
      </c>
      <c r="B3" s="77">
        <v>597321.51333333331</v>
      </c>
      <c r="C3" s="78">
        <v>1385000</v>
      </c>
      <c r="D3" s="78">
        <v>2700000</v>
      </c>
      <c r="E3" s="78">
        <v>7964000</v>
      </c>
      <c r="F3" s="78">
        <v>6676000</v>
      </c>
      <c r="G3" s="22">
        <f t="shared" si="0"/>
        <v>18725000</v>
      </c>
      <c r="H3" s="22">
        <f t="shared" si="1"/>
        <v>691486.00272663881</v>
      </c>
      <c r="I3" s="22">
        <f t="shared" ref="I3:I15" si="3">G3-H3</f>
        <v>18033513.997273359</v>
      </c>
    </row>
    <row r="4" spans="1:9" ht="15.75" customHeight="1" x14ac:dyDescent="0.25">
      <c r="A4" s="7">
        <f t="shared" si="2"/>
        <v>2019</v>
      </c>
      <c r="B4" s="77">
        <v>595230.16666666663</v>
      </c>
      <c r="C4" s="78">
        <v>1392000</v>
      </c>
      <c r="D4" s="78">
        <v>2701000</v>
      </c>
      <c r="E4" s="78">
        <v>8090000</v>
      </c>
      <c r="F4" s="78">
        <v>6782000</v>
      </c>
      <c r="G4" s="22">
        <f t="shared" si="0"/>
        <v>18965000</v>
      </c>
      <c r="H4" s="22">
        <f t="shared" si="1"/>
        <v>689064.96662703657</v>
      </c>
      <c r="I4" s="22">
        <f t="shared" si="3"/>
        <v>18275935.033372965</v>
      </c>
    </row>
    <row r="5" spans="1:9" ht="15.75" customHeight="1" x14ac:dyDescent="0.25">
      <c r="A5" s="7">
        <f t="shared" si="2"/>
        <v>2020</v>
      </c>
      <c r="B5" s="77">
        <v>592783.64</v>
      </c>
      <c r="C5" s="78">
        <v>1399000</v>
      </c>
      <c r="D5" s="78">
        <v>2704000</v>
      </c>
      <c r="E5" s="78">
        <v>8207000</v>
      </c>
      <c r="F5" s="78">
        <v>6889000</v>
      </c>
      <c r="G5" s="22">
        <f t="shared" si="0"/>
        <v>19199000</v>
      </c>
      <c r="H5" s="22">
        <f t="shared" si="1"/>
        <v>686232.75833127846</v>
      </c>
      <c r="I5" s="22">
        <f t="shared" si="3"/>
        <v>18512767.24166872</v>
      </c>
    </row>
    <row r="6" spans="1:9" ht="15.75" customHeight="1" x14ac:dyDescent="0.25">
      <c r="A6" s="7">
        <f t="shared" si="2"/>
        <v>2021</v>
      </c>
      <c r="B6" s="77">
        <v>590922.82200000004</v>
      </c>
      <c r="C6" s="78">
        <v>1406000</v>
      </c>
      <c r="D6" s="78">
        <v>2709000</v>
      </c>
      <c r="E6" s="78">
        <v>8324000</v>
      </c>
      <c r="F6" s="78">
        <v>7002000</v>
      </c>
      <c r="G6" s="22">
        <f t="shared" si="0"/>
        <v>19441000</v>
      </c>
      <c r="H6" s="22">
        <f t="shared" si="1"/>
        <v>684078.59248943371</v>
      </c>
      <c r="I6" s="22">
        <f t="shared" si="3"/>
        <v>18756921.407510567</v>
      </c>
    </row>
    <row r="7" spans="1:9" ht="15.75" customHeight="1" x14ac:dyDescent="0.25">
      <c r="A7" s="7">
        <f t="shared" si="2"/>
        <v>2022</v>
      </c>
      <c r="B7" s="77">
        <v>588756.42400000012</v>
      </c>
      <c r="C7" s="78">
        <v>1413000</v>
      </c>
      <c r="D7" s="78">
        <v>2716000</v>
      </c>
      <c r="E7" s="78">
        <v>8432000</v>
      </c>
      <c r="F7" s="78">
        <v>7113000</v>
      </c>
      <c r="G7" s="22">
        <f t="shared" si="0"/>
        <v>19674000</v>
      </c>
      <c r="H7" s="22">
        <f t="shared" si="1"/>
        <v>681570.67362179526</v>
      </c>
      <c r="I7" s="22">
        <f t="shared" si="3"/>
        <v>18992429.326378204</v>
      </c>
    </row>
    <row r="8" spans="1:9" ht="15.75" customHeight="1" x14ac:dyDescent="0.25">
      <c r="A8" s="7">
        <f t="shared" si="2"/>
        <v>2023</v>
      </c>
      <c r="B8" s="77">
        <v>586272.05700000015</v>
      </c>
      <c r="C8" s="78">
        <v>1420000</v>
      </c>
      <c r="D8" s="78">
        <v>2725000</v>
      </c>
      <c r="E8" s="78">
        <v>8511000</v>
      </c>
      <c r="F8" s="78">
        <v>7223000</v>
      </c>
      <c r="G8" s="22">
        <f t="shared" si="0"/>
        <v>19879000</v>
      </c>
      <c r="H8" s="22">
        <f t="shared" si="1"/>
        <v>678694.65966986306</v>
      </c>
      <c r="I8" s="22">
        <f t="shared" si="3"/>
        <v>19200305.340330139</v>
      </c>
    </row>
    <row r="9" spans="1:9" ht="15.75" customHeight="1" x14ac:dyDescent="0.25">
      <c r="A9" s="7">
        <f t="shared" si="2"/>
        <v>2024</v>
      </c>
      <c r="B9" s="77">
        <v>583508.85400000017</v>
      </c>
      <c r="C9" s="78">
        <v>1425000</v>
      </c>
      <c r="D9" s="78">
        <v>2734000</v>
      </c>
      <c r="E9" s="78">
        <v>8540000</v>
      </c>
      <c r="F9" s="78">
        <v>7340000</v>
      </c>
      <c r="G9" s="22">
        <f t="shared" si="0"/>
        <v>20039000</v>
      </c>
      <c r="H9" s="22">
        <f t="shared" si="1"/>
        <v>675495.85273835051</v>
      </c>
      <c r="I9" s="22">
        <f t="shared" si="3"/>
        <v>19363504.147261649</v>
      </c>
    </row>
    <row r="10" spans="1:9" ht="15.75" customHeight="1" x14ac:dyDescent="0.25">
      <c r="A10" s="7">
        <f t="shared" si="2"/>
        <v>2025</v>
      </c>
      <c r="B10" s="77">
        <v>580437.6</v>
      </c>
      <c r="C10" s="78">
        <v>1430000</v>
      </c>
      <c r="D10" s="78">
        <v>2744000</v>
      </c>
      <c r="E10" s="78">
        <v>8501000</v>
      </c>
      <c r="F10" s="78">
        <v>7463000</v>
      </c>
      <c r="G10" s="22">
        <f t="shared" si="0"/>
        <v>20138000</v>
      </c>
      <c r="H10" s="22">
        <f t="shared" si="1"/>
        <v>671940.43224132713</v>
      </c>
      <c r="I10" s="22">
        <f t="shared" si="3"/>
        <v>19466059.567758672</v>
      </c>
    </row>
    <row r="11" spans="1:9" ht="15.75" customHeight="1" x14ac:dyDescent="0.25">
      <c r="A11" s="7">
        <f t="shared" si="2"/>
        <v>2026</v>
      </c>
      <c r="B11" s="77">
        <v>578349.40240000014</v>
      </c>
      <c r="C11" s="78">
        <v>1435000</v>
      </c>
      <c r="D11" s="78">
        <v>2758000</v>
      </c>
      <c r="E11" s="78">
        <v>8402000</v>
      </c>
      <c r="F11" s="78">
        <v>7591000</v>
      </c>
      <c r="G11" s="22">
        <f t="shared" si="0"/>
        <v>20186000</v>
      </c>
      <c r="H11" s="22">
        <f t="shared" si="1"/>
        <v>669523.04164163268</v>
      </c>
      <c r="I11" s="22">
        <f t="shared" si="3"/>
        <v>19516476.958358366</v>
      </c>
    </row>
    <row r="12" spans="1:9" ht="15.75" customHeight="1" x14ac:dyDescent="0.25">
      <c r="A12" s="7">
        <f t="shared" si="2"/>
        <v>2027</v>
      </c>
      <c r="B12" s="77">
        <v>575987.78099999996</v>
      </c>
      <c r="C12" s="78">
        <v>1439000</v>
      </c>
      <c r="D12" s="78">
        <v>2771000</v>
      </c>
      <c r="E12" s="78">
        <v>8244000</v>
      </c>
      <c r="F12" s="78">
        <v>7724000</v>
      </c>
      <c r="G12" s="22">
        <f t="shared" si="0"/>
        <v>20178000</v>
      </c>
      <c r="H12" s="22">
        <f t="shared" si="1"/>
        <v>666789.12346626574</v>
      </c>
      <c r="I12" s="22">
        <f t="shared" si="3"/>
        <v>19511210.876533736</v>
      </c>
    </row>
    <row r="13" spans="1:9" ht="15.75" customHeight="1" x14ac:dyDescent="0.25">
      <c r="A13" s="7">
        <f t="shared" si="2"/>
        <v>2028</v>
      </c>
      <c r="B13" s="77">
        <v>573357.47340000013</v>
      </c>
      <c r="C13" s="78">
        <v>1442000</v>
      </c>
      <c r="D13" s="78">
        <v>2785000</v>
      </c>
      <c r="E13" s="78">
        <v>8039000</v>
      </c>
      <c r="F13" s="78">
        <v>7857000</v>
      </c>
      <c r="G13" s="22">
        <f t="shared" si="0"/>
        <v>20123000</v>
      </c>
      <c r="H13" s="22">
        <f t="shared" si="1"/>
        <v>663744.16217211168</v>
      </c>
      <c r="I13" s="22">
        <f t="shared" si="3"/>
        <v>19459255.837827887</v>
      </c>
    </row>
    <row r="14" spans="1:9" ht="15.75" customHeight="1" x14ac:dyDescent="0.25">
      <c r="A14" s="7">
        <f t="shared" si="2"/>
        <v>2029</v>
      </c>
      <c r="B14" s="77">
        <v>570478.87980000011</v>
      </c>
      <c r="C14" s="78">
        <v>1444000</v>
      </c>
      <c r="D14" s="78">
        <v>2799000</v>
      </c>
      <c r="E14" s="78">
        <v>7803000</v>
      </c>
      <c r="F14" s="78">
        <v>7985000</v>
      </c>
      <c r="G14" s="22">
        <f t="shared" si="0"/>
        <v>20031000</v>
      </c>
      <c r="H14" s="22">
        <f t="shared" si="1"/>
        <v>660411.77393980033</v>
      </c>
      <c r="I14" s="22">
        <f t="shared" si="3"/>
        <v>19370588.2260602</v>
      </c>
    </row>
    <row r="15" spans="1:9" ht="15.75" customHeight="1" x14ac:dyDescent="0.25">
      <c r="A15" s="7">
        <f t="shared" si="2"/>
        <v>2030</v>
      </c>
      <c r="B15" s="77">
        <v>567309.75</v>
      </c>
      <c r="C15" s="78">
        <v>1445000</v>
      </c>
      <c r="D15" s="78">
        <v>2811000</v>
      </c>
      <c r="E15" s="78">
        <v>7556000</v>
      </c>
      <c r="F15" s="78">
        <v>8102000</v>
      </c>
      <c r="G15" s="22">
        <f t="shared" si="0"/>
        <v>19914000</v>
      </c>
      <c r="H15" s="22">
        <f t="shared" si="1"/>
        <v>656743.04805498349</v>
      </c>
      <c r="I15" s="22">
        <f t="shared" si="3"/>
        <v>19257256.951945018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>
        <v>110</v>
      </c>
      <c r="C17" s="77"/>
      <c r="D17" s="78"/>
      <c r="E17" s="78"/>
      <c r="F17" s="78"/>
      <c r="G17" s="22">
        <f t="shared" si="0"/>
        <v>0</v>
      </c>
      <c r="H17" s="22">
        <f t="shared" si="1"/>
        <v>127.34090201349119</v>
      </c>
      <c r="I17" s="22">
        <f t="shared" si="4"/>
        <v>-127.34090201349119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14" sqref="C14"/>
    </sheetView>
  </sheetViews>
  <sheetFormatPr defaultColWidth="14.453125" defaultRowHeight="15.75" customHeight="1" x14ac:dyDescent="0.25"/>
  <cols>
    <col min="1" max="1" width="16.1796875" customWidth="1"/>
    <col min="2" max="2" width="31.26953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(2017) attributable to cause</v>
      </c>
      <c r="B1" s="41"/>
      <c r="C1" s="41"/>
      <c r="D1" s="41"/>
      <c r="E1" s="41"/>
      <c r="F1" s="41"/>
    </row>
    <row r="2" spans="1:8" ht="27.75" customHeight="1" x14ac:dyDescent="0.3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8.6528922500000004E-3</v>
      </c>
    </row>
    <row r="4" spans="1:8" ht="15.75" customHeight="1" x14ac:dyDescent="0.25">
      <c r="B4" s="24" t="s">
        <v>7</v>
      </c>
      <c r="C4" s="79">
        <v>0.19345644179471827</v>
      </c>
    </row>
    <row r="5" spans="1:8" ht="15.75" customHeight="1" x14ac:dyDescent="0.25">
      <c r="B5" s="24" t="s">
        <v>8</v>
      </c>
      <c r="C5" s="79">
        <v>7.5443042788505998E-2</v>
      </c>
    </row>
    <row r="6" spans="1:8" ht="15.75" customHeight="1" x14ac:dyDescent="0.25">
      <c r="B6" s="24" t="s">
        <v>10</v>
      </c>
      <c r="C6" s="79">
        <v>0.10628253636357765</v>
      </c>
    </row>
    <row r="7" spans="1:8" ht="15.75" customHeight="1" x14ac:dyDescent="0.25">
      <c r="B7" s="24" t="s">
        <v>13</v>
      </c>
      <c r="C7" s="79">
        <v>0.29335031353301927</v>
      </c>
    </row>
    <row r="8" spans="1:8" ht="15.75" customHeight="1" x14ac:dyDescent="0.25">
      <c r="B8" s="24" t="s">
        <v>14</v>
      </c>
      <c r="C8" s="79">
        <v>5.7266986090012423E-5</v>
      </c>
    </row>
    <row r="9" spans="1:8" ht="15.75" customHeight="1" x14ac:dyDescent="0.25">
      <c r="B9" s="24" t="s">
        <v>27</v>
      </c>
      <c r="C9" s="79">
        <v>0.18364501708412898</v>
      </c>
    </row>
    <row r="10" spans="1:8" ht="15.75" customHeight="1" x14ac:dyDescent="0.25">
      <c r="B10" s="24" t="s">
        <v>15</v>
      </c>
      <c r="C10" s="79">
        <v>0.13911248919995989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3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0.12438841706093801</v>
      </c>
      <c r="D14" s="79">
        <v>0.12438841706093801</v>
      </c>
      <c r="E14" s="79">
        <v>0.10730584483768899</v>
      </c>
      <c r="F14" s="79">
        <v>0.10730584483768899</v>
      </c>
    </row>
    <row r="15" spans="1:8" ht="15.75" customHeight="1" x14ac:dyDescent="0.25">
      <c r="B15" s="24" t="s">
        <v>16</v>
      </c>
      <c r="C15" s="79">
        <v>0.17327906142846899</v>
      </c>
      <c r="D15" s="79">
        <v>0.17327906142846899</v>
      </c>
      <c r="E15" s="79">
        <v>0.12620149898800001</v>
      </c>
      <c r="F15" s="79">
        <v>0.12620149898800001</v>
      </c>
    </row>
    <row r="16" spans="1:8" ht="15.75" customHeight="1" x14ac:dyDescent="0.25">
      <c r="B16" s="24" t="s">
        <v>17</v>
      </c>
      <c r="C16" s="79">
        <v>3.01634516861208E-2</v>
      </c>
      <c r="D16" s="79">
        <v>3.01634516861208E-2</v>
      </c>
      <c r="E16" s="79">
        <v>2.3875922888137203E-2</v>
      </c>
      <c r="F16" s="79">
        <v>2.3875922888137203E-2</v>
      </c>
    </row>
    <row r="17" spans="1:8" ht="15.75" customHeight="1" x14ac:dyDescent="0.25">
      <c r="B17" s="24" t="s">
        <v>18</v>
      </c>
      <c r="C17" s="79">
        <v>7.42917694930443E-5</v>
      </c>
      <c r="D17" s="79">
        <v>7.42917694930443E-5</v>
      </c>
      <c r="E17" s="79">
        <v>2.11126696695642E-4</v>
      </c>
      <c r="F17" s="79">
        <v>2.11126696695642E-4</v>
      </c>
    </row>
    <row r="18" spans="1:8" ht="15.75" customHeight="1" x14ac:dyDescent="0.25">
      <c r="B18" s="24" t="s">
        <v>19</v>
      </c>
      <c r="C18" s="79">
        <v>2.44692767521578E-4</v>
      </c>
      <c r="D18" s="79">
        <v>2.44692767521578E-4</v>
      </c>
      <c r="E18" s="79">
        <v>5.2468389432503695E-4</v>
      </c>
      <c r="F18" s="79">
        <v>5.2468389432503695E-4</v>
      </c>
    </row>
    <row r="19" spans="1:8" ht="15.75" customHeight="1" x14ac:dyDescent="0.25">
      <c r="B19" s="24" t="s">
        <v>20</v>
      </c>
      <c r="C19" s="79">
        <v>7.3043088203289799E-3</v>
      </c>
      <c r="D19" s="79">
        <v>7.3043088203289799E-3</v>
      </c>
      <c r="E19" s="79">
        <v>2.14572148829008E-3</v>
      </c>
      <c r="F19" s="79">
        <v>2.14572148829008E-3</v>
      </c>
    </row>
    <row r="20" spans="1:8" ht="15.75" customHeight="1" x14ac:dyDescent="0.25">
      <c r="B20" s="24" t="s">
        <v>21</v>
      </c>
      <c r="C20" s="79">
        <v>1.0875316966707601E-2</v>
      </c>
      <c r="D20" s="79">
        <v>1.0875316966707601E-2</v>
      </c>
      <c r="E20" s="79">
        <v>9.2748667860506097E-3</v>
      </c>
      <c r="F20" s="79">
        <v>9.2748667860506097E-3</v>
      </c>
    </row>
    <row r="21" spans="1:8" ht="15.75" customHeight="1" x14ac:dyDescent="0.25">
      <c r="B21" s="24" t="s">
        <v>22</v>
      </c>
      <c r="C21" s="79">
        <v>0.133309587618297</v>
      </c>
      <c r="D21" s="79">
        <v>0.133309587618297</v>
      </c>
      <c r="E21" s="79">
        <v>0.27654927176121802</v>
      </c>
      <c r="F21" s="79">
        <v>0.27654927176121802</v>
      </c>
    </row>
    <row r="22" spans="1:8" ht="15.75" customHeight="1" x14ac:dyDescent="0.25">
      <c r="B22" s="24" t="s">
        <v>23</v>
      </c>
      <c r="C22" s="79">
        <v>0.52036087188212399</v>
      </c>
      <c r="D22" s="79">
        <v>0.52036087188212399</v>
      </c>
      <c r="E22" s="79">
        <v>0.45391106265959436</v>
      </c>
      <c r="F22" s="79">
        <v>0.45391106265959436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3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5.6500000000000002E-2</v>
      </c>
    </row>
    <row r="27" spans="1:8" ht="15.75" customHeight="1" x14ac:dyDescent="0.25">
      <c r="B27" s="24" t="s">
        <v>39</v>
      </c>
      <c r="C27" s="79">
        <v>3.5299999999999998E-2</v>
      </c>
    </row>
    <row r="28" spans="1:8" ht="15.75" customHeight="1" x14ac:dyDescent="0.25">
      <c r="B28" s="24" t="s">
        <v>40</v>
      </c>
      <c r="C28" s="79">
        <v>4.2599999999999999E-2</v>
      </c>
    </row>
    <row r="29" spans="1:8" ht="15.75" customHeight="1" x14ac:dyDescent="0.25">
      <c r="B29" s="24" t="s">
        <v>41</v>
      </c>
      <c r="C29" s="79">
        <v>0.2742</v>
      </c>
    </row>
    <row r="30" spans="1:8" ht="15.75" customHeight="1" x14ac:dyDescent="0.25">
      <c r="B30" s="24" t="s">
        <v>42</v>
      </c>
      <c r="C30" s="79">
        <v>6.2699999999999992E-2</v>
      </c>
    </row>
    <row r="31" spans="1:8" ht="15.75" customHeight="1" x14ac:dyDescent="0.25">
      <c r="B31" s="24" t="s">
        <v>43</v>
      </c>
      <c r="C31" s="79">
        <v>0.14019999999999999</v>
      </c>
    </row>
    <row r="32" spans="1:8" ht="15.75" customHeight="1" x14ac:dyDescent="0.25">
      <c r="B32" s="24" t="s">
        <v>44</v>
      </c>
      <c r="C32" s="79">
        <v>2.4500000000000001E-2</v>
      </c>
    </row>
    <row r="33" spans="2:3" ht="15.75" customHeight="1" x14ac:dyDescent="0.25">
      <c r="B33" s="24" t="s">
        <v>45</v>
      </c>
      <c r="C33" s="79">
        <v>0.1193</v>
      </c>
    </row>
    <row r="34" spans="2:3" ht="15.75" customHeight="1" x14ac:dyDescent="0.25">
      <c r="B34" s="24" t="s">
        <v>46</v>
      </c>
      <c r="C34" s="79">
        <v>0.24469999999776484</v>
      </c>
    </row>
    <row r="35" spans="2:3" ht="15.75" customHeight="1" x14ac:dyDescent="0.25">
      <c r="B35" s="32" t="s">
        <v>129</v>
      </c>
      <c r="C35" s="74">
        <f>SUM(C26:C34)</f>
        <v>0.99999999999776468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F14" sqref="F14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7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0.69725858322468481</v>
      </c>
      <c r="D2" s="80">
        <v>0.69725858322468481</v>
      </c>
      <c r="E2" s="80">
        <v>0.66121412118590572</v>
      </c>
      <c r="F2" s="80">
        <v>0.53605823554976095</v>
      </c>
      <c r="G2" s="80">
        <v>0.51600239084766741</v>
      </c>
    </row>
    <row r="3" spans="1:15" ht="15.75" customHeight="1" x14ac:dyDescent="0.25">
      <c r="A3" s="5"/>
      <c r="B3" s="11" t="s">
        <v>118</v>
      </c>
      <c r="C3" s="80">
        <v>0.22994697957409824</v>
      </c>
      <c r="D3" s="80">
        <v>0.22994697957409824</v>
      </c>
      <c r="E3" s="80">
        <v>0.25143255417263405</v>
      </c>
      <c r="F3" s="80">
        <v>0.31660582355497607</v>
      </c>
      <c r="G3" s="80">
        <v>0.33374989076902106</v>
      </c>
    </row>
    <row r="4" spans="1:15" ht="15.75" customHeight="1" x14ac:dyDescent="0.25">
      <c r="A4" s="5"/>
      <c r="B4" s="11" t="s">
        <v>116</v>
      </c>
      <c r="C4" s="81">
        <v>4.7170795306388527E-2</v>
      </c>
      <c r="D4" s="81">
        <v>4.7170795306388527E-2</v>
      </c>
      <c r="E4" s="81">
        <v>6.1729682746631896E-2</v>
      </c>
      <c r="F4" s="81">
        <v>9.7253368100825716E-2</v>
      </c>
      <c r="G4" s="81">
        <v>0.1001651455888744</v>
      </c>
    </row>
    <row r="5" spans="1:15" ht="15.75" customHeight="1" x14ac:dyDescent="0.25">
      <c r="A5" s="5"/>
      <c r="B5" s="11" t="s">
        <v>119</v>
      </c>
      <c r="C5" s="81">
        <v>2.5623641894828339E-2</v>
      </c>
      <c r="D5" s="81">
        <v>2.5623641894828339E-2</v>
      </c>
      <c r="E5" s="81">
        <v>2.5623641894828339E-2</v>
      </c>
      <c r="F5" s="81">
        <v>5.0082572794437202E-2</v>
      </c>
      <c r="G5" s="81">
        <v>5.0082572794437202E-2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0.84620881516998958</v>
      </c>
      <c r="D8" s="80">
        <v>0.84620881516998958</v>
      </c>
      <c r="E8" s="80">
        <v>0.85616250090312507</v>
      </c>
      <c r="F8" s="80">
        <v>0.86509948808820514</v>
      </c>
      <c r="G8" s="80">
        <v>0.88016700703258655</v>
      </c>
    </row>
    <row r="9" spans="1:15" ht="15.75" customHeight="1" x14ac:dyDescent="0.25">
      <c r="B9" s="7" t="s">
        <v>121</v>
      </c>
      <c r="C9" s="80">
        <v>9.4791185830010491E-2</v>
      </c>
      <c r="D9" s="80">
        <v>9.4791185830010491E-2</v>
      </c>
      <c r="E9" s="80">
        <v>9.1837500096875024E-2</v>
      </c>
      <c r="F9" s="80">
        <v>8.6900512911794903E-2</v>
      </c>
      <c r="G9" s="80">
        <v>7.3832993967413454E-2</v>
      </c>
    </row>
    <row r="10" spans="1:15" ht="15.75" customHeight="1" x14ac:dyDescent="0.25">
      <c r="B10" s="7" t="s">
        <v>122</v>
      </c>
      <c r="C10" s="81">
        <v>4.0999999000000002E-2</v>
      </c>
      <c r="D10" s="81">
        <v>4.0999999000000002E-2</v>
      </c>
      <c r="E10" s="81">
        <v>4.0999999000000002E-2</v>
      </c>
      <c r="F10" s="81">
        <v>4.0999999000000002E-2</v>
      </c>
      <c r="G10" s="81">
        <v>4.0999999000000002E-2</v>
      </c>
    </row>
    <row r="11" spans="1:15" ht="15.75" customHeight="1" x14ac:dyDescent="0.25">
      <c r="B11" s="7" t="s">
        <v>123</v>
      </c>
      <c r="C11" s="81">
        <v>1.8000000000000002E-2</v>
      </c>
      <c r="D11" s="81">
        <v>1.8000000000000002E-2</v>
      </c>
      <c r="E11" s="81">
        <v>1.1000000000000001E-2</v>
      </c>
      <c r="F11" s="81">
        <v>6.9999999999999993E-3</v>
      </c>
      <c r="G11" s="81">
        <v>5.0000000000000001E-3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0.10628020924999999</v>
      </c>
      <c r="D14" s="82">
        <v>0.10001147951100001</v>
      </c>
      <c r="E14" s="82">
        <v>0.10001147951100001</v>
      </c>
      <c r="F14" s="82">
        <v>3.3530111506E-2</v>
      </c>
      <c r="G14" s="82">
        <v>3.3530111506E-2</v>
      </c>
      <c r="H14" s="83">
        <v>0.29100000000000004</v>
      </c>
      <c r="I14" s="83">
        <v>0.29100000000000004</v>
      </c>
      <c r="J14" s="83">
        <v>0.29100000000000004</v>
      </c>
      <c r="K14" s="83">
        <v>0.29100000000000004</v>
      </c>
      <c r="L14" s="83">
        <v>0.10836548160999999</v>
      </c>
      <c r="M14" s="83">
        <v>8.7664409353050005E-2</v>
      </c>
      <c r="N14" s="83">
        <v>8.4480787415200001E-2</v>
      </c>
      <c r="O14" s="83">
        <v>9.7947167278999991E-2</v>
      </c>
    </row>
    <row r="15" spans="1:15" ht="15.75" customHeight="1" x14ac:dyDescent="0.25">
      <c r="B15" s="16" t="s">
        <v>68</v>
      </c>
      <c r="C15" s="80">
        <f>iron_deficiency_anaemia*C14</f>
        <v>5.8470075023167867E-2</v>
      </c>
      <c r="D15" s="80">
        <f t="shared" ref="D15:O15" si="0">iron_deficiency_anaemia*D14</f>
        <v>5.5021332301208155E-2</v>
      </c>
      <c r="E15" s="80">
        <f t="shared" si="0"/>
        <v>5.5021332301208155E-2</v>
      </c>
      <c r="F15" s="80">
        <f t="shared" si="0"/>
        <v>1.8446596493608278E-2</v>
      </c>
      <c r="G15" s="80">
        <f t="shared" si="0"/>
        <v>1.8446596493608278E-2</v>
      </c>
      <c r="H15" s="80">
        <f t="shared" si="0"/>
        <v>0.1600936990227261</v>
      </c>
      <c r="I15" s="80">
        <f t="shared" si="0"/>
        <v>0.1600936990227261</v>
      </c>
      <c r="J15" s="80">
        <f t="shared" si="0"/>
        <v>0.1600936990227261</v>
      </c>
      <c r="K15" s="80">
        <f t="shared" si="0"/>
        <v>0.1600936990227261</v>
      </c>
      <c r="L15" s="80">
        <f t="shared" si="0"/>
        <v>5.9617287963313052E-2</v>
      </c>
      <c r="M15" s="80">
        <f t="shared" si="0"/>
        <v>4.822858957378777E-2</v>
      </c>
      <c r="N15" s="80">
        <f t="shared" si="0"/>
        <v>4.6477119428357166E-2</v>
      </c>
      <c r="O15" s="80">
        <f t="shared" si="0"/>
        <v>5.3885650579013164E-2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E3" sqref="E3"/>
    </sheetView>
  </sheetViews>
  <sheetFormatPr defaultColWidth="8.81640625" defaultRowHeight="12.5" x14ac:dyDescent="0.25"/>
  <cols>
    <col min="1" max="1" width="28.81640625" customWidth="1"/>
    <col min="2" max="7" width="13.453125" customWidth="1"/>
  </cols>
  <sheetData>
    <row r="1" spans="1:7" ht="40.5" customHeight="1" x14ac:dyDescent="0.3">
      <c r="A1" s="27" t="str">
        <f>"Percentage of children in each category in baseline year ("&amp;start_year&amp;")"</f>
        <v>Percentage of children in each category in baseline year (2017)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0.52</v>
      </c>
      <c r="D2" s="81">
        <v>0.32700000000000001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0.13100000000000001</v>
      </c>
      <c r="D3" s="81">
        <v>0.14099999999999999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0.30499999999999999</v>
      </c>
      <c r="D4" s="81">
        <v>0.42799999999999999</v>
      </c>
      <c r="E4" s="81">
        <v>0.73499999999999999</v>
      </c>
      <c r="F4" s="81">
        <v>0.47799999999999998</v>
      </c>
      <c r="G4" s="81">
        <v>0</v>
      </c>
    </row>
    <row r="5" spans="1:7" x14ac:dyDescent="0.25">
      <c r="B5" s="43" t="s">
        <v>169</v>
      </c>
      <c r="C5" s="80">
        <f>1-SUM(C2:C4)</f>
        <v>4.4000000000000039E-2</v>
      </c>
      <c r="D5" s="80">
        <f>1-SUM(D2:D4)</f>
        <v>0.10400000000000009</v>
      </c>
      <c r="E5" s="80">
        <f>1-SUM(E2:E4)</f>
        <v>0.26500000000000001</v>
      </c>
      <c r="F5" s="80">
        <f>1-SUM(F2:F4)</f>
        <v>0.52200000000000002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zoomScale="110" zoomScaleNormal="110" workbookViewId="0">
      <selection activeCell="C4" sqref="C4"/>
    </sheetView>
  </sheetViews>
  <sheetFormatPr defaultColWidth="8.81640625" defaultRowHeight="12.5" x14ac:dyDescent="0.25"/>
  <cols>
    <col min="1" max="1" width="37" customWidth="1"/>
    <col min="2" max="2" width="29.453125" customWidth="1"/>
  </cols>
  <sheetData>
    <row r="1" spans="1:16" ht="13" x14ac:dyDescent="0.3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0.13891000000000001</v>
      </c>
      <c r="D2" s="144">
        <v>0.13692000000000001</v>
      </c>
      <c r="E2" s="144">
        <v>0.13496</v>
      </c>
      <c r="F2" s="144">
        <v>0.13303999999999999</v>
      </c>
      <c r="G2" s="144">
        <v>0.13117999999999999</v>
      </c>
      <c r="H2" s="144">
        <v>0.12928000000000001</v>
      </c>
      <c r="I2" s="144">
        <v>0.12742000000000001</v>
      </c>
      <c r="J2" s="144">
        <v>0.12561</v>
      </c>
      <c r="K2" s="144">
        <v>0.12384000000000001</v>
      </c>
      <c r="L2" s="144">
        <v>0.12211</v>
      </c>
      <c r="M2" s="144">
        <v>0.12043</v>
      </c>
      <c r="N2" s="144">
        <v>0.11878999999999999</v>
      </c>
      <c r="O2" s="144">
        <v>0.11718000000000001</v>
      </c>
      <c r="P2" s="144">
        <v>0.11562</v>
      </c>
    </row>
    <row r="3" spans="1:16" x14ac:dyDescent="0.25">
      <c r="B3" s="14"/>
      <c r="C3" s="142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</row>
    <row r="4" spans="1:16" x14ac:dyDescent="0.25">
      <c r="A4" t="s">
        <v>140</v>
      </c>
      <c r="B4" s="14" t="s">
        <v>143</v>
      </c>
      <c r="C4" s="28">
        <v>5.1369999999999999E-2</v>
      </c>
      <c r="D4" s="144">
        <v>5.1540000000000002E-2</v>
      </c>
      <c r="E4" s="144">
        <v>5.1729999999999998E-2</v>
      </c>
      <c r="F4" s="144">
        <v>5.1929999999999997E-2</v>
      </c>
      <c r="G4" s="144">
        <v>5.2140000000000006E-2</v>
      </c>
      <c r="H4" s="144">
        <v>5.2440000000000001E-2</v>
      </c>
      <c r="I4" s="144">
        <v>5.2760000000000001E-2</v>
      </c>
      <c r="J4" s="144">
        <v>5.3089999999999998E-2</v>
      </c>
      <c r="K4" s="144">
        <v>5.3429999999999998E-2</v>
      </c>
      <c r="L4" s="144">
        <v>5.3780000000000001E-2</v>
      </c>
      <c r="M4" s="144">
        <v>5.4150000000000004E-2</v>
      </c>
      <c r="N4" s="144">
        <v>5.4519999999999999E-2</v>
      </c>
      <c r="O4" s="144">
        <v>5.4909999999999994E-2</v>
      </c>
      <c r="P4" s="144">
        <v>5.5300000000000002E-2</v>
      </c>
    </row>
    <row r="5" spans="1:16" x14ac:dyDescent="0.25">
      <c r="B5" s="14"/>
      <c r="C5" s="142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x14ac:dyDescent="0.25">
      <c r="A6" t="s">
        <v>141</v>
      </c>
      <c r="B6" s="14" t="s">
        <v>143</v>
      </c>
      <c r="C6" s="28">
        <f>('Nutritional status distribution'!C15+5*'Nutritional status distribution'!D15+6*'Nutritional status distribution'!E15+12*'Nutritional status distribution'!F15+36*'Nutritional status distribution'!G15)/60</f>
        <v>2.581902270049425E-2</v>
      </c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</row>
    <row r="7" spans="1:16" x14ac:dyDescent="0.25">
      <c r="B7" s="14" t="s">
        <v>32</v>
      </c>
      <c r="C7" s="28">
        <f>('Nutritional status distribution'!H15 + 2*'Nutritional status distribution'!I15+2*'Nutritional status distribution'!J15+2*'Nutritional status distribution'!K15)/7</f>
        <v>0.1600936990227261</v>
      </c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</row>
    <row r="8" spans="1:16" x14ac:dyDescent="0.25">
      <c r="B8" s="14" t="s">
        <v>144</v>
      </c>
      <c r="C8" s="28">
        <f>('Nutritional status distribution'!L15+2*'Nutritional status distribution'!M15+2*'Nutritional status distribution'!N15+2*'Nutritional status distribution'!O15)/7</f>
        <v>5.0971429589375609E-2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</row>
    <row r="9" spans="1:16" x14ac:dyDescent="0.25">
      <c r="C9" s="142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</row>
    <row r="10" spans="1:16" x14ac:dyDescent="0.25">
      <c r="A10" t="s">
        <v>142</v>
      </c>
      <c r="B10" s="16" t="s">
        <v>147</v>
      </c>
      <c r="C10" s="28">
        <f>('Breastfeeding distribution'!C2 + 5*'Breastfeeding distribution'!D2)/6</f>
        <v>0.35916666666666669</v>
      </c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</row>
    <row r="11" spans="1:16" x14ac:dyDescent="0.25">
      <c r="B11" s="34" t="s">
        <v>146</v>
      </c>
      <c r="C11" s="28">
        <f>('Breastfeeding distribution'!E4+2*'Breastfeeding distribution'!F4)/3</f>
        <v>0.56366666666666665</v>
      </c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</row>
    <row r="12" spans="1:16" x14ac:dyDescent="0.25">
      <c r="C12" s="142"/>
    </row>
    <row r="13" spans="1:16" x14ac:dyDescent="0.25">
      <c r="A13" s="12" t="s">
        <v>74</v>
      </c>
      <c r="B13" s="34" t="s">
        <v>148</v>
      </c>
      <c r="C13" s="143">
        <v>15.57</v>
      </c>
      <c r="D13" s="143">
        <v>15.353999999999999</v>
      </c>
      <c r="E13" s="143">
        <v>15.135</v>
      </c>
      <c r="F13" s="143">
        <v>14.928000000000001</v>
      </c>
      <c r="G13" s="143">
        <v>14.734</v>
      </c>
      <c r="H13" s="143">
        <v>14.526999999999999</v>
      </c>
      <c r="I13" s="143">
        <v>14.316000000000001</v>
      </c>
      <c r="J13" s="143">
        <v>14.105</v>
      </c>
      <c r="K13" s="143">
        <v>13.898999999999999</v>
      </c>
      <c r="L13" s="143">
        <v>13.637</v>
      </c>
      <c r="M13" s="143">
        <v>13.459</v>
      </c>
      <c r="N13" s="143">
        <v>13.180999999999999</v>
      </c>
      <c r="O13" s="143">
        <v>12.984</v>
      </c>
      <c r="P13" s="143">
        <v>12.769</v>
      </c>
    </row>
    <row r="14" spans="1:16" x14ac:dyDescent="0.25">
      <c r="B14" s="16" t="s">
        <v>170</v>
      </c>
      <c r="C14" s="143">
        <f>maternal_mortality</f>
        <v>0.95</v>
      </c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</row>
  </sheetData>
  <pageMargins left="0.7" right="0.7" top="0.75" bottom="0.75" header="0.3" footer="0.3"/>
  <pageSetup paperSize="193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3" sqref="D3"/>
    </sheetView>
  </sheetViews>
  <sheetFormatPr defaultColWidth="11.453125" defaultRowHeight="12.5" x14ac:dyDescent="0.25"/>
  <cols>
    <col min="1" max="1" width="17" style="35" customWidth="1"/>
    <col min="2" max="2" width="19.1796875" style="35" customWidth="1"/>
    <col min="3" max="3" width="13.453125" style="35" customWidth="1"/>
    <col min="4" max="16384" width="11.453125" style="35"/>
  </cols>
  <sheetData>
    <row r="1" spans="1:5" ht="13" x14ac:dyDescent="0.3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ht="13" x14ac:dyDescent="0.3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/>
      <c r="D3" s="84" t="s">
        <v>194</v>
      </c>
      <c r="E3" s="61" t="str">
        <f>IF(E$7="","",E$7)</f>
        <v/>
      </c>
    </row>
    <row r="4" spans="1:5" x14ac:dyDescent="0.25">
      <c r="A4" s="47"/>
      <c r="B4" s="46" t="s">
        <v>2</v>
      </c>
      <c r="C4" s="84"/>
      <c r="D4" s="84" t="s">
        <v>194</v>
      </c>
      <c r="E4" s="61" t="str">
        <f>IF(E$7="","",E$7)</f>
        <v/>
      </c>
    </row>
    <row r="5" spans="1:5" x14ac:dyDescent="0.25">
      <c r="A5" s="47"/>
      <c r="B5" s="46" t="s">
        <v>3</v>
      </c>
      <c r="C5" s="84"/>
      <c r="D5" s="84" t="s">
        <v>194</v>
      </c>
      <c r="E5" s="61" t="str">
        <f>IF(E$7="","",E$7)</f>
        <v/>
      </c>
    </row>
    <row r="6" spans="1:5" x14ac:dyDescent="0.25">
      <c r="A6" s="47"/>
      <c r="B6" s="46" t="s">
        <v>4</v>
      </c>
      <c r="C6" s="84"/>
      <c r="D6" s="84" t="s">
        <v>194</v>
      </c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ht="13" x14ac:dyDescent="0.3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/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/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/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ht="13" x14ac:dyDescent="0.3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 t="s">
        <v>194</v>
      </c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1640625" defaultRowHeight="12.5" x14ac:dyDescent="0.25"/>
  <cols>
    <col min="1" max="1" width="15.7265625" customWidth="1"/>
    <col min="2" max="2" width="15.453125" customWidth="1"/>
    <col min="3" max="3" width="17.453125" customWidth="1"/>
    <col min="4" max="4" width="12.81640625" customWidth="1"/>
  </cols>
  <sheetData>
    <row r="1" spans="1:4" ht="13" x14ac:dyDescent="0.3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ht="13" x14ac:dyDescent="0.3">
      <c r="A2" s="65" t="s">
        <v>69</v>
      </c>
      <c r="B2" s="46" t="s">
        <v>67</v>
      </c>
      <c r="C2" s="46" t="s">
        <v>183</v>
      </c>
      <c r="D2" s="84"/>
    </row>
    <row r="3" spans="1:4" ht="13" x14ac:dyDescent="0.3">
      <c r="A3" s="65" t="s">
        <v>185</v>
      </c>
      <c r="B3" s="46" t="s">
        <v>176</v>
      </c>
      <c r="C3" s="46" t="s">
        <v>184</v>
      </c>
      <c r="D3" s="84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39"/>
  <sheetViews>
    <sheetView zoomScale="85" zoomScaleNormal="118" workbookViewId="0">
      <selection activeCell="E29" sqref="E29"/>
    </sheetView>
  </sheetViews>
  <sheetFormatPr defaultColWidth="14.453125" defaultRowHeight="15.75" customHeight="1" x14ac:dyDescent="0.25"/>
  <cols>
    <col min="1" max="1" width="20" bestFit="1" customWidth="1"/>
    <col min="2" max="2" width="45.81640625" customWidth="1"/>
    <col min="3" max="3" width="8.453125" bestFit="1" customWidth="1"/>
    <col min="4" max="4" width="10" bestFit="1" customWidth="1"/>
    <col min="5" max="5" width="10.81640625" bestFit="1" customWidth="1"/>
    <col min="6" max="7" width="11.81640625" bestFit="1" customWidth="1"/>
    <col min="8" max="11" width="13.81640625" bestFit="1" customWidth="1"/>
    <col min="12" max="15" width="15.1796875" bestFit="1" customWidth="1"/>
  </cols>
  <sheetData>
    <row r="1" spans="1:15" ht="15.75" customHeight="1" x14ac:dyDescent="0.3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3">
      <c r="A2" s="4" t="s">
        <v>31</v>
      </c>
      <c r="B2" s="11" t="s">
        <v>61</v>
      </c>
      <c r="C2" s="92">
        <v>0</v>
      </c>
      <c r="D2" s="92">
        <f>food_insecure</f>
        <v>0.33100000000000002</v>
      </c>
      <c r="E2" s="92">
        <f>food_insecure</f>
        <v>0.33100000000000002</v>
      </c>
      <c r="F2" s="92">
        <f>food_insecure</f>
        <v>0.33100000000000002</v>
      </c>
      <c r="G2" s="92">
        <f>food_insecure</f>
        <v>0.33100000000000002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0</v>
      </c>
    </row>
    <row r="3" spans="1:15" ht="15.75" customHeight="1" x14ac:dyDescent="0.25">
      <c r="B3" s="7" t="s">
        <v>149</v>
      </c>
      <c r="C3" s="92">
        <v>1</v>
      </c>
      <c r="D3" s="92">
        <v>0</v>
      </c>
      <c r="E3" s="92">
        <v>0</v>
      </c>
      <c r="F3" s="92">
        <v>0</v>
      </c>
      <c r="G3" s="92">
        <v>0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</row>
    <row r="4" spans="1:15" ht="15.75" customHeight="1" x14ac:dyDescent="0.25">
      <c r="B4" s="7" t="s">
        <v>196</v>
      </c>
      <c r="C4" s="92">
        <v>1</v>
      </c>
      <c r="D4" s="92">
        <v>0</v>
      </c>
      <c r="E4" s="92">
        <v>0</v>
      </c>
      <c r="F4" s="92">
        <v>0</v>
      </c>
      <c r="G4" s="92">
        <v>0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0</v>
      </c>
      <c r="O4" s="93">
        <v>0</v>
      </c>
    </row>
    <row r="5" spans="1:15" ht="15.75" customHeight="1" x14ac:dyDescent="0.25">
      <c r="B5" s="11" t="s">
        <v>136</v>
      </c>
      <c r="C5" s="92">
        <v>0</v>
      </c>
      <c r="D5" s="92">
        <v>0</v>
      </c>
      <c r="E5" s="92">
        <f>food_insecure</f>
        <v>0.33100000000000002</v>
      </c>
      <c r="F5" s="92">
        <f>food_insecure</f>
        <v>0.33100000000000002</v>
      </c>
      <c r="G5" s="92">
        <v>0</v>
      </c>
      <c r="H5" s="93">
        <v>0</v>
      </c>
      <c r="I5" s="93">
        <v>0</v>
      </c>
      <c r="J5" s="93">
        <v>0</v>
      </c>
      <c r="K5" s="93">
        <v>0</v>
      </c>
      <c r="L5" s="93">
        <v>0</v>
      </c>
      <c r="M5" s="93">
        <v>0</v>
      </c>
      <c r="N5" s="93">
        <v>0</v>
      </c>
      <c r="O5" s="93">
        <v>0</v>
      </c>
    </row>
    <row r="6" spans="1:15" ht="15.75" customHeight="1" x14ac:dyDescent="0.25">
      <c r="B6" s="11" t="s">
        <v>137</v>
      </c>
      <c r="C6" s="92">
        <v>0</v>
      </c>
      <c r="D6" s="92">
        <v>0</v>
      </c>
      <c r="E6" s="92">
        <f>1</f>
        <v>1</v>
      </c>
      <c r="F6" s="92">
        <f>1</f>
        <v>1</v>
      </c>
      <c r="G6" s="92">
        <f>1</f>
        <v>1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3">
        <v>0</v>
      </c>
    </row>
    <row r="7" spans="1:15" ht="15.75" customHeight="1" x14ac:dyDescent="0.25">
      <c r="B7" s="33" t="s">
        <v>84</v>
      </c>
      <c r="C7" s="92">
        <f>diarrhoea_1mo/26</f>
        <v>0.29591903614201914</v>
      </c>
      <c r="D7" s="92">
        <f>diarrhoea_1_5mo/26</f>
        <v>0.20980807068538423</v>
      </c>
      <c r="E7" s="92">
        <f>diarrhoea_6_11mo/26</f>
        <v>0.20980807068538423</v>
      </c>
      <c r="F7" s="92">
        <f>diarrhoea_12_23mo/26</f>
        <v>0.10657397656153847</v>
      </c>
      <c r="G7" s="92">
        <f>diarrhoea_24_59mo/26</f>
        <v>0.10657397656153847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</row>
    <row r="8" spans="1:15" ht="15.75" customHeight="1" x14ac:dyDescent="0.25">
      <c r="B8" s="11" t="s">
        <v>58</v>
      </c>
      <c r="C8" s="92">
        <v>0</v>
      </c>
      <c r="D8" s="92">
        <v>0</v>
      </c>
      <c r="E8" s="92">
        <f>food_insecure</f>
        <v>0.33100000000000002</v>
      </c>
      <c r="F8" s="92">
        <f>food_insecure</f>
        <v>0.33100000000000002</v>
      </c>
      <c r="G8" s="92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</row>
    <row r="9" spans="1:15" ht="15.75" customHeight="1" x14ac:dyDescent="0.25">
      <c r="B9" s="11" t="s">
        <v>67</v>
      </c>
      <c r="C9" s="92">
        <v>0</v>
      </c>
      <c r="D9" s="92">
        <f>IF(ISBLANK(comm_deliv), frac_children_health_facility,1)</f>
        <v>0.72</v>
      </c>
      <c r="E9" s="92">
        <f>IF(ISBLANK(comm_deliv), frac_children_health_facility,1)</f>
        <v>0.72</v>
      </c>
      <c r="F9" s="92">
        <f>IF(ISBLANK(comm_deliv), frac_children_health_facility,1)</f>
        <v>0.72</v>
      </c>
      <c r="G9" s="92">
        <f>IF(ISBLANK(comm_deliv), frac_children_health_facility,1)</f>
        <v>0.72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</row>
    <row r="10" spans="1:15" ht="15" customHeight="1" x14ac:dyDescent="0.25">
      <c r="B10" s="11" t="s">
        <v>28</v>
      </c>
      <c r="C10" s="92">
        <v>0</v>
      </c>
      <c r="D10" s="92">
        <v>0</v>
      </c>
      <c r="E10" s="92">
        <v>1</v>
      </c>
      <c r="F10" s="92">
        <v>1</v>
      </c>
      <c r="G10" s="92">
        <v>1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</row>
    <row r="11" spans="1:15" ht="15.75" customHeight="1" x14ac:dyDescent="0.25">
      <c r="B11" s="33" t="s">
        <v>85</v>
      </c>
      <c r="C11" s="92">
        <f>diarrhoea_1mo/26</f>
        <v>0.29591903614201914</v>
      </c>
      <c r="D11" s="92">
        <f>diarrhoea_1_5mo/26</f>
        <v>0.20980807068538423</v>
      </c>
      <c r="E11" s="92">
        <f>diarrhoea_6_11mo/26</f>
        <v>0.20980807068538423</v>
      </c>
      <c r="F11" s="92">
        <f>diarrhoea_12_23mo/26</f>
        <v>0.10657397656153847</v>
      </c>
      <c r="G11" s="92">
        <f>diarrhoea_24_59mo/26</f>
        <v>0.10657397656153847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</row>
    <row r="12" spans="1:15" ht="15.75" customHeight="1" x14ac:dyDescent="0.25">
      <c r="B12" s="11" t="s">
        <v>60</v>
      </c>
      <c r="C12" s="92">
        <v>0</v>
      </c>
      <c r="D12" s="92">
        <v>0</v>
      </c>
      <c r="E12" s="92">
        <v>1</v>
      </c>
      <c r="F12" s="92">
        <v>1</v>
      </c>
      <c r="G12" s="92">
        <v>1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</row>
    <row r="13" spans="1:15" ht="15.75" customHeight="1" x14ac:dyDescent="0.25">
      <c r="B13" s="33"/>
    </row>
    <row r="14" spans="1:15" ht="15.75" customHeight="1" x14ac:dyDescent="0.3">
      <c r="A14" s="4" t="s">
        <v>32</v>
      </c>
      <c r="B14" s="33" t="s">
        <v>29</v>
      </c>
      <c r="C14" s="93">
        <v>0</v>
      </c>
      <c r="D14" s="93">
        <v>0</v>
      </c>
      <c r="E14" s="93">
        <v>0</v>
      </c>
      <c r="F14" s="93">
        <v>0</v>
      </c>
      <c r="G14" s="93">
        <v>0</v>
      </c>
      <c r="H14" s="92">
        <f>food_insecure</f>
        <v>0.33100000000000002</v>
      </c>
      <c r="I14" s="92">
        <f>food_insecure</f>
        <v>0.33100000000000002</v>
      </c>
      <c r="J14" s="92">
        <f>food_insecure</f>
        <v>0.33100000000000002</v>
      </c>
      <c r="K14" s="92">
        <f>food_insecure</f>
        <v>0.33100000000000002</v>
      </c>
      <c r="L14" s="93">
        <v>0</v>
      </c>
      <c r="M14" s="93">
        <v>0</v>
      </c>
      <c r="N14" s="93">
        <v>0</v>
      </c>
      <c r="O14" s="93">
        <v>0</v>
      </c>
    </row>
    <row r="15" spans="1:15" ht="15.75" customHeight="1" x14ac:dyDescent="0.3">
      <c r="A15" s="4"/>
      <c r="B15" s="11" t="s">
        <v>86</v>
      </c>
      <c r="C15" s="93">
        <v>0</v>
      </c>
      <c r="D15" s="93">
        <v>0</v>
      </c>
      <c r="E15" s="93">
        <v>0</v>
      </c>
      <c r="F15" s="93">
        <v>0</v>
      </c>
      <c r="G15" s="93">
        <v>0</v>
      </c>
      <c r="H15" s="92">
        <v>1</v>
      </c>
      <c r="I15" s="92">
        <v>1</v>
      </c>
      <c r="J15" s="92">
        <v>1</v>
      </c>
      <c r="K15" s="92">
        <v>1</v>
      </c>
      <c r="L15" s="93">
        <v>0</v>
      </c>
      <c r="M15" s="93">
        <v>0</v>
      </c>
      <c r="N15" s="93">
        <v>0</v>
      </c>
      <c r="O15" s="93">
        <v>0</v>
      </c>
    </row>
    <row r="16" spans="1:15" ht="15.75" customHeight="1" x14ac:dyDescent="0.3">
      <c r="A16" s="4"/>
      <c r="B16" s="11" t="s">
        <v>187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H16" s="92">
        <f xml:space="preserve"> 1</f>
        <v>1</v>
      </c>
      <c r="I16" s="92">
        <f xml:space="preserve"> 1</f>
        <v>1</v>
      </c>
      <c r="J16" s="92">
        <f xml:space="preserve"> 1</f>
        <v>1</v>
      </c>
      <c r="K16" s="92">
        <f xml:space="preserve"> 1</f>
        <v>1</v>
      </c>
      <c r="L16" s="93">
        <v>0</v>
      </c>
      <c r="M16" s="93">
        <v>0</v>
      </c>
      <c r="N16" s="93">
        <v>0</v>
      </c>
      <c r="O16" s="93">
        <v>0</v>
      </c>
    </row>
    <row r="17" spans="1:15" ht="15.75" customHeight="1" x14ac:dyDescent="0.3">
      <c r="A17" s="4"/>
      <c r="B17" s="11" t="s">
        <v>209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2">
        <f>frac_PW_health_facility</f>
        <v>0.96200000000000008</v>
      </c>
      <c r="I17" s="92">
        <f>frac_PW_health_facility</f>
        <v>0.96200000000000008</v>
      </c>
      <c r="J17" s="92">
        <f>frac_PW_health_facility</f>
        <v>0.96200000000000008</v>
      </c>
      <c r="K17" s="92">
        <f>frac_PW_health_facility</f>
        <v>0.96200000000000008</v>
      </c>
      <c r="L17" s="93">
        <v>0</v>
      </c>
      <c r="M17" s="93">
        <v>0</v>
      </c>
      <c r="N17" s="93">
        <v>0</v>
      </c>
      <c r="O17" s="93">
        <v>0</v>
      </c>
    </row>
    <row r="18" spans="1:15" ht="15" customHeight="1" x14ac:dyDescent="0.25">
      <c r="B18" s="33" t="s">
        <v>57</v>
      </c>
      <c r="C18" s="93">
        <v>0</v>
      </c>
      <c r="D18" s="93">
        <v>0</v>
      </c>
      <c r="E18" s="93">
        <v>0</v>
      </c>
      <c r="F18" s="93">
        <v>0</v>
      </c>
      <c r="G18" s="93">
        <v>0</v>
      </c>
      <c r="H18" s="92">
        <f>frac_malaria_risk</f>
        <v>5.0000000000000001E-3</v>
      </c>
      <c r="I18" s="92">
        <f>frac_malaria_risk</f>
        <v>5.0000000000000001E-3</v>
      </c>
      <c r="J18" s="92">
        <f>frac_malaria_risk</f>
        <v>5.0000000000000001E-3</v>
      </c>
      <c r="K18" s="92">
        <f>frac_malaria_risk</f>
        <v>5.0000000000000001E-3</v>
      </c>
      <c r="L18" s="93">
        <v>0</v>
      </c>
      <c r="M18" s="93">
        <v>0</v>
      </c>
      <c r="N18" s="93">
        <v>0</v>
      </c>
      <c r="O18" s="93">
        <v>0</v>
      </c>
    </row>
    <row r="19" spans="1:15" ht="15.75" customHeight="1" x14ac:dyDescent="0.25">
      <c r="B19" s="11" t="s">
        <v>88</v>
      </c>
      <c r="C19" s="93">
        <v>0</v>
      </c>
      <c r="D19" s="93">
        <v>0</v>
      </c>
      <c r="E19" s="93">
        <v>0</v>
      </c>
      <c r="F19" s="93">
        <v>0</v>
      </c>
      <c r="G19" s="93">
        <v>0</v>
      </c>
      <c r="H19" s="92">
        <v>1</v>
      </c>
      <c r="I19" s="92">
        <v>1</v>
      </c>
      <c r="J19" s="92">
        <v>1</v>
      </c>
      <c r="K19" s="92">
        <v>1</v>
      </c>
      <c r="L19" s="93">
        <v>0</v>
      </c>
      <c r="M19" s="93">
        <v>0</v>
      </c>
      <c r="N19" s="93">
        <v>0</v>
      </c>
      <c r="O19" s="93">
        <v>0</v>
      </c>
    </row>
    <row r="20" spans="1:15" ht="15.75" customHeight="1" x14ac:dyDescent="0.25">
      <c r="B20" s="11" t="s">
        <v>87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2">
        <v>1</v>
      </c>
      <c r="I20" s="92">
        <v>1</v>
      </c>
      <c r="J20" s="92">
        <v>1</v>
      </c>
      <c r="K20" s="92">
        <v>1</v>
      </c>
      <c r="L20" s="93">
        <v>0</v>
      </c>
      <c r="M20" s="93">
        <v>0</v>
      </c>
      <c r="N20" s="93">
        <v>0</v>
      </c>
      <c r="O20" s="93">
        <v>0</v>
      </c>
    </row>
    <row r="21" spans="1:15" ht="15.75" customHeight="1" x14ac:dyDescent="0.25">
      <c r="B21" s="33" t="s">
        <v>59</v>
      </c>
      <c r="C21" s="93">
        <v>0</v>
      </c>
      <c r="D21" s="93">
        <v>0</v>
      </c>
      <c r="E21" s="93">
        <v>0</v>
      </c>
      <c r="F21" s="93">
        <v>0</v>
      </c>
      <c r="G21" s="93">
        <v>0</v>
      </c>
      <c r="H21" s="92">
        <f>1</f>
        <v>1</v>
      </c>
      <c r="I21" s="92">
        <f>1</f>
        <v>1</v>
      </c>
      <c r="J21" s="92">
        <f>1</f>
        <v>1</v>
      </c>
      <c r="K21" s="92">
        <f>1</f>
        <v>1</v>
      </c>
      <c r="L21" s="93">
        <v>0</v>
      </c>
      <c r="M21" s="93">
        <v>0</v>
      </c>
      <c r="N21" s="93">
        <v>0</v>
      </c>
      <c r="O21" s="93">
        <v>0</v>
      </c>
    </row>
    <row r="22" spans="1:15" ht="15.75" customHeight="1" x14ac:dyDescent="0.25">
      <c r="B22" s="33"/>
    </row>
    <row r="23" spans="1:15" ht="15.75" customHeight="1" x14ac:dyDescent="0.3">
      <c r="A23" s="62" t="s">
        <v>37</v>
      </c>
      <c r="B23" s="63" t="s">
        <v>198</v>
      </c>
      <c r="C23" s="93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2">
        <f>famplan_unmet_need</f>
        <v>0.17</v>
      </c>
      <c r="M23" s="92">
        <f>famplan_unmet_need</f>
        <v>0.17</v>
      </c>
      <c r="N23" s="92">
        <f>famplan_unmet_need</f>
        <v>0.17</v>
      </c>
      <c r="O23" s="92">
        <f>famplan_unmet_need</f>
        <v>0.17</v>
      </c>
    </row>
    <row r="24" spans="1:15" ht="15.75" customHeight="1" x14ac:dyDescent="0.25">
      <c r="B24" s="63" t="s">
        <v>188</v>
      </c>
      <c r="C24" s="93">
        <v>0</v>
      </c>
      <c r="D24" s="93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2">
        <f>(1-food_insecure)*(0.49)*(1-school_attendance) + food_insecure*(0.7)*(1-school_attendance)</f>
        <v>0.15048224470443722</v>
      </c>
      <c r="M24" s="92">
        <f>(1-food_insecure)*(0.49)+food_insecure*(0.7)</f>
        <v>0.55950999999999995</v>
      </c>
      <c r="N24" s="92">
        <f>(1-food_insecure)*(0.49)+food_insecure*(0.7)</f>
        <v>0.55950999999999995</v>
      </c>
      <c r="O24" s="92">
        <f>(1-food_insecure)*(0.49)+food_insecure*(0.7)</f>
        <v>0.55950999999999995</v>
      </c>
    </row>
    <row r="25" spans="1:15" ht="15.75" customHeight="1" x14ac:dyDescent="0.25">
      <c r="B25" s="63" t="s">
        <v>208</v>
      </c>
      <c r="C25" s="93">
        <v>0</v>
      </c>
      <c r="D25" s="93">
        <v>0</v>
      </c>
      <c r="E25" s="93">
        <v>0</v>
      </c>
      <c r="F25" s="93">
        <v>0</v>
      </c>
      <c r="G25" s="93">
        <v>0</v>
      </c>
      <c r="H25" s="93">
        <v>0</v>
      </c>
      <c r="I25" s="93">
        <v>0</v>
      </c>
      <c r="J25" s="93">
        <v>0</v>
      </c>
      <c r="K25" s="93">
        <v>0</v>
      </c>
      <c r="L25" s="92">
        <f>(1-food_insecure)*(0.21)*(1-school_attendance) + food_insecure*(0.3)*(1-school_attendance)</f>
        <v>6.4492390587615966E-2</v>
      </c>
      <c r="M25" s="92">
        <f>(1-food_insecure)*(0.21)+food_insecure*(0.3)</f>
        <v>0.23979</v>
      </c>
      <c r="N25" s="92">
        <f>(1-food_insecure)*(0.21)+food_insecure*(0.3)</f>
        <v>0.23979</v>
      </c>
      <c r="O25" s="92">
        <f>(1-food_insecure)*(0.21)+food_insecure*(0.3)</f>
        <v>0.23979</v>
      </c>
    </row>
    <row r="26" spans="1:15" ht="15.75" customHeight="1" x14ac:dyDescent="0.25">
      <c r="B26" s="63" t="s">
        <v>189</v>
      </c>
      <c r="C26" s="93">
        <v>0</v>
      </c>
      <c r="D26" s="93">
        <v>0</v>
      </c>
      <c r="E26" s="93">
        <v>0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  <c r="K26" s="93">
        <v>0</v>
      </c>
      <c r="L26" s="92">
        <f>(1-food_insecure)*(0.3)*(1-school_attendance)</f>
        <v>5.3978993247985836E-2</v>
      </c>
      <c r="M26" s="92">
        <f>(1-food_insecure)*(0.3)</f>
        <v>0.20070000000000002</v>
      </c>
      <c r="N26" s="92">
        <f>(1-food_insecure)*(0.3)</f>
        <v>0.20070000000000002</v>
      </c>
      <c r="O26" s="92">
        <f>(1-food_insecure)*(0.3)</f>
        <v>0.20070000000000002</v>
      </c>
    </row>
    <row r="27" spans="1:15" ht="15.75" customHeight="1" x14ac:dyDescent="0.25">
      <c r="B27" s="63" t="s">
        <v>190</v>
      </c>
      <c r="C27" s="93">
        <v>0</v>
      </c>
      <c r="D27" s="93">
        <v>0</v>
      </c>
      <c r="E27" s="93">
        <v>0</v>
      </c>
      <c r="F27" s="93">
        <v>0</v>
      </c>
      <c r="G27" s="93">
        <v>0</v>
      </c>
      <c r="H27" s="93">
        <v>0</v>
      </c>
      <c r="I27" s="93">
        <v>0</v>
      </c>
      <c r="J27" s="93">
        <v>0</v>
      </c>
      <c r="K27" s="93">
        <v>0</v>
      </c>
      <c r="L27" s="92">
        <f>(1-food_insecure)*1*school_attendance + food_insecure*1*school_attendance</f>
        <v>0.7310463714599611</v>
      </c>
      <c r="M27" s="92">
        <v>0</v>
      </c>
      <c r="N27" s="92">
        <v>0</v>
      </c>
      <c r="O27" s="92">
        <v>0</v>
      </c>
    </row>
    <row r="28" spans="1:15" ht="15.75" customHeight="1" x14ac:dyDescent="0.2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3">
      <c r="A29" s="4" t="s">
        <v>35</v>
      </c>
      <c r="B29" s="11" t="s">
        <v>63</v>
      </c>
      <c r="C29" s="92">
        <v>0</v>
      </c>
      <c r="D29" s="92">
        <v>0</v>
      </c>
      <c r="E29" s="92">
        <f t="shared" ref="E29:O29" si="0">frac_maize</f>
        <v>0.99</v>
      </c>
      <c r="F29" s="92">
        <f t="shared" si="0"/>
        <v>0.99</v>
      </c>
      <c r="G29" s="92">
        <f t="shared" si="0"/>
        <v>0.99</v>
      </c>
      <c r="H29" s="92">
        <f t="shared" si="0"/>
        <v>0.99</v>
      </c>
      <c r="I29" s="92">
        <f t="shared" si="0"/>
        <v>0.99</v>
      </c>
      <c r="J29" s="92">
        <f t="shared" si="0"/>
        <v>0.99</v>
      </c>
      <c r="K29" s="92">
        <f t="shared" si="0"/>
        <v>0.99</v>
      </c>
      <c r="L29" s="92">
        <f t="shared" si="0"/>
        <v>0.99</v>
      </c>
      <c r="M29" s="92">
        <f t="shared" si="0"/>
        <v>0.99</v>
      </c>
      <c r="N29" s="92">
        <f t="shared" si="0"/>
        <v>0.99</v>
      </c>
      <c r="O29" s="92">
        <f t="shared" si="0"/>
        <v>0.99</v>
      </c>
    </row>
    <row r="30" spans="1:15" ht="15.75" customHeight="1" x14ac:dyDescent="0.25">
      <c r="B30" s="11" t="s">
        <v>64</v>
      </c>
      <c r="C30" s="92">
        <v>0</v>
      </c>
      <c r="D30" s="92">
        <v>0</v>
      </c>
      <c r="E30" s="92">
        <f t="shared" ref="E30:O30" si="1">frac_rice</f>
        <v>5.0000000000000001E-3</v>
      </c>
      <c r="F30" s="92">
        <f t="shared" si="1"/>
        <v>5.0000000000000001E-3</v>
      </c>
      <c r="G30" s="92">
        <f t="shared" si="1"/>
        <v>5.0000000000000001E-3</v>
      </c>
      <c r="H30" s="92">
        <f t="shared" si="1"/>
        <v>5.0000000000000001E-3</v>
      </c>
      <c r="I30" s="92">
        <f t="shared" si="1"/>
        <v>5.0000000000000001E-3</v>
      </c>
      <c r="J30" s="92">
        <f t="shared" si="1"/>
        <v>5.0000000000000001E-3</v>
      </c>
      <c r="K30" s="92">
        <f t="shared" si="1"/>
        <v>5.0000000000000001E-3</v>
      </c>
      <c r="L30" s="92">
        <f t="shared" si="1"/>
        <v>5.0000000000000001E-3</v>
      </c>
      <c r="M30" s="92">
        <f t="shared" si="1"/>
        <v>5.0000000000000001E-3</v>
      </c>
      <c r="N30" s="92">
        <f t="shared" si="1"/>
        <v>5.0000000000000001E-3</v>
      </c>
      <c r="O30" s="92">
        <f t="shared" si="1"/>
        <v>5.0000000000000001E-3</v>
      </c>
    </row>
    <row r="31" spans="1:15" ht="15.75" customHeight="1" x14ac:dyDescent="0.25">
      <c r="B31" s="11" t="s">
        <v>62</v>
      </c>
      <c r="C31" s="92">
        <v>0</v>
      </c>
      <c r="D31" s="92">
        <v>0</v>
      </c>
      <c r="E31" s="92">
        <f>frac_wheat</f>
        <v>5.0000000000000001E-3</v>
      </c>
      <c r="F31" s="92">
        <f t="shared" ref="F31:O31" si="2">frac_wheat</f>
        <v>5.0000000000000001E-3</v>
      </c>
      <c r="G31" s="92">
        <f t="shared" si="2"/>
        <v>5.0000000000000001E-3</v>
      </c>
      <c r="H31" s="92">
        <f t="shared" si="2"/>
        <v>5.0000000000000001E-3</v>
      </c>
      <c r="I31" s="92">
        <f t="shared" si="2"/>
        <v>5.0000000000000001E-3</v>
      </c>
      <c r="J31" s="92">
        <f t="shared" si="2"/>
        <v>5.0000000000000001E-3</v>
      </c>
      <c r="K31" s="92">
        <f t="shared" si="2"/>
        <v>5.0000000000000001E-3</v>
      </c>
      <c r="L31" s="92">
        <f t="shared" si="2"/>
        <v>5.0000000000000001E-3</v>
      </c>
      <c r="M31" s="92">
        <f t="shared" si="2"/>
        <v>5.0000000000000001E-3</v>
      </c>
      <c r="N31" s="92">
        <f t="shared" si="2"/>
        <v>5.0000000000000001E-3</v>
      </c>
      <c r="O31" s="92">
        <f t="shared" si="2"/>
        <v>5.0000000000000001E-3</v>
      </c>
    </row>
    <row r="32" spans="1:15" ht="15.75" customHeight="1" x14ac:dyDescent="0.25">
      <c r="B32" s="11" t="s">
        <v>47</v>
      </c>
      <c r="C32" s="92">
        <v>0</v>
      </c>
      <c r="D32" s="92">
        <v>0</v>
      </c>
      <c r="E32" s="92">
        <v>1</v>
      </c>
      <c r="F32" s="92">
        <v>1</v>
      </c>
      <c r="G32" s="92">
        <v>1</v>
      </c>
      <c r="H32" s="92">
        <v>1</v>
      </c>
      <c r="I32" s="92">
        <v>1</v>
      </c>
      <c r="J32" s="92">
        <v>1</v>
      </c>
      <c r="K32" s="92">
        <v>1</v>
      </c>
      <c r="L32" s="92">
        <v>1</v>
      </c>
      <c r="M32" s="92">
        <v>1</v>
      </c>
      <c r="N32" s="92">
        <v>1</v>
      </c>
      <c r="O32" s="92">
        <v>1</v>
      </c>
    </row>
    <row r="33" spans="1:15" ht="15.75" customHeight="1" x14ac:dyDescent="0.25">
      <c r="B33" s="11" t="s">
        <v>34</v>
      </c>
      <c r="C33" s="92">
        <f t="shared" ref="C33:O33" si="3">frac_malaria_risk</f>
        <v>5.0000000000000001E-3</v>
      </c>
      <c r="D33" s="92">
        <f t="shared" si="3"/>
        <v>5.0000000000000001E-3</v>
      </c>
      <c r="E33" s="92">
        <f t="shared" si="3"/>
        <v>5.0000000000000001E-3</v>
      </c>
      <c r="F33" s="92">
        <f t="shared" si="3"/>
        <v>5.0000000000000001E-3</v>
      </c>
      <c r="G33" s="92">
        <f t="shared" si="3"/>
        <v>5.0000000000000001E-3</v>
      </c>
      <c r="H33" s="92">
        <f t="shared" si="3"/>
        <v>5.0000000000000001E-3</v>
      </c>
      <c r="I33" s="92">
        <f t="shared" si="3"/>
        <v>5.0000000000000001E-3</v>
      </c>
      <c r="J33" s="92">
        <f t="shared" si="3"/>
        <v>5.0000000000000001E-3</v>
      </c>
      <c r="K33" s="92">
        <f t="shared" si="3"/>
        <v>5.0000000000000001E-3</v>
      </c>
      <c r="L33" s="92">
        <f t="shared" si="3"/>
        <v>5.0000000000000001E-3</v>
      </c>
      <c r="M33" s="92">
        <f t="shared" si="3"/>
        <v>5.0000000000000001E-3</v>
      </c>
      <c r="N33" s="92">
        <f t="shared" si="3"/>
        <v>5.0000000000000001E-3</v>
      </c>
      <c r="O33" s="92">
        <f t="shared" si="3"/>
        <v>5.0000000000000001E-3</v>
      </c>
    </row>
    <row r="34" spans="1:15" ht="15.75" customHeight="1" x14ac:dyDescent="0.25">
      <c r="B34" s="33" t="s">
        <v>83</v>
      </c>
      <c r="C34" s="92">
        <v>1</v>
      </c>
      <c r="D34" s="92">
        <v>1</v>
      </c>
      <c r="E34" s="92">
        <v>1</v>
      </c>
      <c r="F34" s="92">
        <v>1</v>
      </c>
      <c r="G34" s="92">
        <v>1</v>
      </c>
      <c r="H34" s="92">
        <v>1</v>
      </c>
      <c r="I34" s="92">
        <v>1</v>
      </c>
      <c r="J34" s="92">
        <v>1</v>
      </c>
      <c r="K34" s="92">
        <v>1</v>
      </c>
      <c r="L34" s="92">
        <v>1</v>
      </c>
      <c r="M34" s="92">
        <v>1</v>
      </c>
      <c r="N34" s="92">
        <v>1</v>
      </c>
      <c r="O34" s="92">
        <v>1</v>
      </c>
    </row>
    <row r="35" spans="1:15" ht="15.75" customHeight="1" x14ac:dyDescent="0.25">
      <c r="A35" s="5"/>
      <c r="B35" s="33" t="s">
        <v>82</v>
      </c>
      <c r="C35" s="92">
        <v>1</v>
      </c>
      <c r="D35" s="92">
        <v>1</v>
      </c>
      <c r="E35" s="92">
        <v>1</v>
      </c>
      <c r="F35" s="92">
        <v>1</v>
      </c>
      <c r="G35" s="92">
        <v>1</v>
      </c>
      <c r="H35" s="92">
        <v>1</v>
      </c>
      <c r="I35" s="92">
        <v>1</v>
      </c>
      <c r="J35" s="92">
        <v>1</v>
      </c>
      <c r="K35" s="92">
        <v>1</v>
      </c>
      <c r="L35" s="92">
        <v>1</v>
      </c>
      <c r="M35" s="92">
        <v>1</v>
      </c>
      <c r="N35" s="92">
        <v>1</v>
      </c>
      <c r="O35" s="92">
        <v>1</v>
      </c>
    </row>
    <row r="36" spans="1:15" s="5" customFormat="1" ht="15.75" customHeight="1" x14ac:dyDescent="0.25">
      <c r="B36" s="33" t="s">
        <v>81</v>
      </c>
      <c r="C36" s="92">
        <v>1</v>
      </c>
      <c r="D36" s="92">
        <v>1</v>
      </c>
      <c r="E36" s="92">
        <v>1</v>
      </c>
      <c r="F36" s="92">
        <v>1</v>
      </c>
      <c r="G36" s="92">
        <v>1</v>
      </c>
      <c r="H36" s="92">
        <v>1</v>
      </c>
      <c r="I36" s="92">
        <v>1</v>
      </c>
      <c r="J36" s="92">
        <v>1</v>
      </c>
      <c r="K36" s="92">
        <v>1</v>
      </c>
      <c r="L36" s="92">
        <v>1</v>
      </c>
      <c r="M36" s="92">
        <v>1</v>
      </c>
      <c r="N36" s="92">
        <v>1</v>
      </c>
      <c r="O36" s="92">
        <v>1</v>
      </c>
    </row>
    <row r="37" spans="1:15" s="5" customFormat="1" ht="15.75" customHeight="1" x14ac:dyDescent="0.25">
      <c r="B37" s="33" t="s">
        <v>79</v>
      </c>
      <c r="C37" s="92">
        <v>1</v>
      </c>
      <c r="D37" s="92">
        <v>1</v>
      </c>
      <c r="E37" s="92">
        <v>1</v>
      </c>
      <c r="F37" s="92">
        <v>1</v>
      </c>
      <c r="G37" s="92">
        <v>1</v>
      </c>
      <c r="H37" s="92">
        <v>1</v>
      </c>
      <c r="I37" s="92">
        <v>1</v>
      </c>
      <c r="J37" s="92">
        <v>1</v>
      </c>
      <c r="K37" s="92">
        <v>1</v>
      </c>
      <c r="L37" s="92">
        <v>1</v>
      </c>
      <c r="M37" s="92">
        <v>1</v>
      </c>
      <c r="N37" s="92">
        <v>1</v>
      </c>
      <c r="O37" s="92">
        <v>1</v>
      </c>
    </row>
    <row r="38" spans="1:15" s="5" customFormat="1" ht="15.75" customHeight="1" x14ac:dyDescent="0.25">
      <c r="B38" s="33" t="s">
        <v>80</v>
      </c>
      <c r="C38" s="92">
        <v>1</v>
      </c>
      <c r="D38" s="92">
        <v>1</v>
      </c>
      <c r="E38" s="92">
        <v>1</v>
      </c>
      <c r="F38" s="92">
        <v>1</v>
      </c>
      <c r="G38" s="92">
        <v>1</v>
      </c>
      <c r="H38" s="92">
        <v>1</v>
      </c>
      <c r="I38" s="92">
        <v>1</v>
      </c>
      <c r="J38" s="92">
        <v>1</v>
      </c>
      <c r="K38" s="92">
        <v>1</v>
      </c>
      <c r="L38" s="92">
        <v>1</v>
      </c>
      <c r="M38" s="92">
        <v>1</v>
      </c>
      <c r="N38" s="92">
        <v>1</v>
      </c>
      <c r="O38" s="92">
        <v>1</v>
      </c>
    </row>
    <row r="39" spans="1:15" ht="15.75" customHeight="1" x14ac:dyDescent="0.25">
      <c r="B39" s="33"/>
    </row>
  </sheetData>
  <sheetProtection algorithmName="SHA-512" hashValue="8AA2I9UZPCvjoGOxL0MMyqqXoHDNS7n4JtfrsQRho74JNJJKUigxuy0/aEjLs4m9INQV0OZqejhY0qqpkSRx4A==" saltValue="BKXFXqwFrNK8M/n7gCZbMQ==" spinCount="100000" sheet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39"/>
  <sheetViews>
    <sheetView topLeftCell="A10" workbookViewId="0">
      <selection activeCell="B10" sqref="B10"/>
    </sheetView>
  </sheetViews>
  <sheetFormatPr defaultColWidth="14.453125" defaultRowHeight="15.75" customHeight="1" x14ac:dyDescent="0.25"/>
  <cols>
    <col min="1" max="1" width="56" style="52" customWidth="1"/>
    <col min="2" max="2" width="20" style="36" customWidth="1"/>
    <col min="3" max="3" width="20.453125" style="35" customWidth="1"/>
    <col min="4" max="4" width="20.1796875" style="35" customWidth="1"/>
    <col min="5" max="5" width="32.26953125" style="35" bestFit="1" customWidth="1"/>
    <col min="6" max="16384" width="14.453125" style="35"/>
  </cols>
  <sheetData>
    <row r="1" spans="1:5" ht="26" x14ac:dyDescent="0.3">
      <c r="A1" s="54" t="s">
        <v>69</v>
      </c>
      <c r="B1" s="66" t="str">
        <f>"Baseline ("&amp;start_year&amp;") coverage"</f>
        <v>Baseline (2017)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86">
        <v>91.27399970601509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86">
        <v>43.717353164893979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86">
        <v>935.6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86">
        <v>1.4824883808812164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86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86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86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86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86">
        <v>2.2945546069045446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86">
        <v>2.2945546069045446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86">
        <v>2.2945546069045446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86">
        <v>2.2945546069045446</v>
      </c>
      <c r="E13" s="86" t="s">
        <v>202</v>
      </c>
    </row>
    <row r="14" spans="1:5" ht="15.75" customHeight="1" x14ac:dyDescent="0.25">
      <c r="A14" s="11" t="s">
        <v>187</v>
      </c>
      <c r="B14" s="85">
        <v>0</v>
      </c>
      <c r="C14" s="85">
        <v>0.95</v>
      </c>
      <c r="D14" s="86">
        <v>14.73506506491457</v>
      </c>
      <c r="E14" s="86" t="s">
        <v>202</v>
      </c>
    </row>
    <row r="15" spans="1:5" ht="15.75" customHeight="1" x14ac:dyDescent="0.25">
      <c r="A15" s="11" t="s">
        <v>209</v>
      </c>
      <c r="B15" s="85">
        <v>0</v>
      </c>
      <c r="C15" s="85">
        <v>0.95</v>
      </c>
      <c r="D15" s="86">
        <v>14.73506506491457</v>
      </c>
      <c r="E15" s="86" t="s">
        <v>202</v>
      </c>
    </row>
    <row r="16" spans="1:5" ht="15.75" customHeight="1" x14ac:dyDescent="0.25">
      <c r="A16" s="52" t="s">
        <v>57</v>
      </c>
      <c r="B16" s="85">
        <v>0</v>
      </c>
      <c r="C16" s="85">
        <v>0.95</v>
      </c>
      <c r="D16" s="86">
        <v>1.474307802764647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86">
        <v>0.13690448396621577</v>
      </c>
      <c r="E17" s="86" t="s">
        <v>202</v>
      </c>
    </row>
    <row r="18" spans="1:5" ht="16" customHeight="1" x14ac:dyDescent="0.25">
      <c r="A18" s="52" t="s">
        <v>173</v>
      </c>
      <c r="B18" s="85">
        <v>0</v>
      </c>
      <c r="C18" s="85">
        <v>0.95</v>
      </c>
      <c r="D18" s="87">
        <v>21.412062375026149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87">
        <v>21.412062375026149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87">
        <v>21.412062375026149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86">
        <v>17.19927253299581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86">
        <v>25.79440028261962</v>
      </c>
      <c r="E22" s="86" t="s">
        <v>202</v>
      </c>
    </row>
    <row r="23" spans="1:5" ht="15.75" customHeight="1" x14ac:dyDescent="0.25">
      <c r="A23" s="52" t="s">
        <v>34</v>
      </c>
      <c r="B23" s="85">
        <v>0</v>
      </c>
      <c r="C23" s="85">
        <v>0.95</v>
      </c>
      <c r="D23" s="86">
        <v>5.2081376493661535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86">
        <v>20.734427315471159</v>
      </c>
      <c r="E24" s="86" t="s">
        <v>202</v>
      </c>
    </row>
    <row r="25" spans="1:5" ht="15.75" customHeight="1" x14ac:dyDescent="0.25">
      <c r="A25" s="52" t="s">
        <v>87</v>
      </c>
      <c r="B25" s="85">
        <v>0</v>
      </c>
      <c r="C25" s="85">
        <v>0.95</v>
      </c>
      <c r="D25" s="86">
        <v>20.732258472733282</v>
      </c>
      <c r="E25" s="86" t="s">
        <v>202</v>
      </c>
    </row>
    <row r="26" spans="1:5" ht="15.75" customHeight="1" x14ac:dyDescent="0.25">
      <c r="A26" s="52" t="s">
        <v>137</v>
      </c>
      <c r="B26" s="85">
        <v>0</v>
      </c>
      <c r="C26" s="85">
        <v>0.95</v>
      </c>
      <c r="D26" s="86">
        <v>7.2019890486705682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86">
        <v>12.370238701515825</v>
      </c>
      <c r="E27" s="86" t="s">
        <v>202</v>
      </c>
    </row>
    <row r="28" spans="1:5" ht="15.75" customHeight="1" x14ac:dyDescent="0.25">
      <c r="A28" s="52" t="s">
        <v>84</v>
      </c>
      <c r="B28" s="85">
        <v>0</v>
      </c>
      <c r="C28" s="85">
        <v>0.95</v>
      </c>
      <c r="D28" s="86">
        <v>4.6256531322223724</v>
      </c>
      <c r="E28" s="86" t="s">
        <v>202</v>
      </c>
    </row>
    <row r="29" spans="1:5" ht="15.75" customHeight="1" x14ac:dyDescent="0.25">
      <c r="A29" s="52" t="s">
        <v>58</v>
      </c>
      <c r="B29" s="85">
        <v>0</v>
      </c>
      <c r="C29" s="85">
        <v>0.95</v>
      </c>
      <c r="D29" s="86">
        <v>189.52381055775763</v>
      </c>
      <c r="E29" s="86" t="s">
        <v>202</v>
      </c>
    </row>
    <row r="30" spans="1:5" ht="15.75" customHeight="1" x14ac:dyDescent="0.25">
      <c r="A30" s="52" t="s">
        <v>67</v>
      </c>
      <c r="B30" s="85">
        <v>0</v>
      </c>
      <c r="C30" s="85">
        <v>0.95</v>
      </c>
      <c r="D30" s="86">
        <v>0.83911365311495534</v>
      </c>
      <c r="E30" s="86" t="s">
        <v>202</v>
      </c>
    </row>
    <row r="31" spans="1:5" ht="15.75" customHeight="1" x14ac:dyDescent="0.25">
      <c r="A31" s="52" t="s">
        <v>28</v>
      </c>
      <c r="B31" s="85">
        <v>0</v>
      </c>
      <c r="C31" s="85">
        <v>0.95</v>
      </c>
      <c r="D31" s="86">
        <v>3.2374309865658213</v>
      </c>
      <c r="E31" s="86" t="s">
        <v>202</v>
      </c>
    </row>
    <row r="32" spans="1:5" ht="15.75" customHeight="1" x14ac:dyDescent="0.25">
      <c r="A32" s="52" t="s">
        <v>83</v>
      </c>
      <c r="B32" s="85">
        <v>0.17</v>
      </c>
      <c r="C32" s="85">
        <v>0.95</v>
      </c>
      <c r="D32" s="86">
        <v>1</v>
      </c>
      <c r="E32" s="86" t="s">
        <v>202</v>
      </c>
    </row>
    <row r="33" spans="1:6" ht="15.75" customHeight="1" x14ac:dyDescent="0.25">
      <c r="A33" s="52" t="s">
        <v>82</v>
      </c>
      <c r="B33" s="85">
        <v>0</v>
      </c>
      <c r="C33" s="85">
        <v>0.95</v>
      </c>
      <c r="D33" s="86">
        <v>2.8</v>
      </c>
      <c r="E33" s="86" t="s">
        <v>202</v>
      </c>
    </row>
    <row r="34" spans="1:6" ht="15.75" customHeight="1" x14ac:dyDescent="0.25">
      <c r="A34" s="52" t="s">
        <v>81</v>
      </c>
      <c r="B34" s="85">
        <v>0.94400000000000006</v>
      </c>
      <c r="C34" s="85">
        <v>0.95</v>
      </c>
      <c r="D34" s="86">
        <v>50.26</v>
      </c>
      <c r="E34" s="86" t="s">
        <v>202</v>
      </c>
    </row>
    <row r="35" spans="1:6" ht="15.75" customHeight="1" x14ac:dyDescent="0.25">
      <c r="A35" s="52" t="s">
        <v>79</v>
      </c>
      <c r="B35" s="85">
        <v>0.93099999999999994</v>
      </c>
      <c r="C35" s="85">
        <v>0.95</v>
      </c>
      <c r="D35" s="86">
        <v>36.1</v>
      </c>
      <c r="E35" s="86" t="s">
        <v>202</v>
      </c>
    </row>
    <row r="36" spans="1:6" s="36" customFormat="1" ht="15.75" customHeight="1" x14ac:dyDescent="0.25">
      <c r="A36" s="52" t="s">
        <v>80</v>
      </c>
      <c r="B36" s="85">
        <v>0.86299999999999999</v>
      </c>
      <c r="C36" s="85">
        <v>0.95</v>
      </c>
      <c r="D36" s="86">
        <v>231.85</v>
      </c>
      <c r="E36" s="86" t="s">
        <v>202</v>
      </c>
      <c r="F36" s="35"/>
    </row>
    <row r="37" spans="1:6" ht="15.75" customHeight="1" x14ac:dyDescent="0.25">
      <c r="A37" s="52" t="s">
        <v>85</v>
      </c>
      <c r="B37" s="85">
        <v>0</v>
      </c>
      <c r="C37" s="85">
        <v>0.95</v>
      </c>
      <c r="D37" s="86">
        <v>8.6805561005393574</v>
      </c>
      <c r="E37" s="86" t="s">
        <v>202</v>
      </c>
    </row>
    <row r="38" spans="1:6" ht="15.75" customHeight="1" x14ac:dyDescent="0.25">
      <c r="A38" s="52" t="s">
        <v>60</v>
      </c>
      <c r="B38" s="85">
        <v>0</v>
      </c>
      <c r="C38" s="85">
        <v>0.95</v>
      </c>
      <c r="D38" s="86">
        <v>3.2602155885318602</v>
      </c>
      <c r="E38" s="86" t="s">
        <v>202</v>
      </c>
    </row>
    <row r="39" spans="1:6" ht="15.75" customHeight="1" x14ac:dyDescent="0.25">
      <c r="F39" s="36"/>
    </row>
  </sheetData>
  <sheetProtection algorithmName="SHA-512" hashValue="zGqGWUHks9r73YYvhtsA/6n2sxkq6NyOLMnszdwkuYHRGc3RAKyH9yLxkOwoypM6IGMaCGHxxq0vP7rXnZY93w==" saltValue="sA5n05NYbI4nfIN6wumz0A==" spinCount="100000" sheet="1" scenarios="1" selectLockedCells="1"/>
  <sortState xmlns:xlrd2="http://schemas.microsoft.com/office/spreadsheetml/2017/richdata2" ref="A2:D38">
    <sortCondition ref="A2:A38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81640625" defaultRowHeight="15.5" x14ac:dyDescent="0.35"/>
  <cols>
    <col min="1" max="1" width="18.7265625" style="55" customWidth="1"/>
    <col min="2" max="16384" width="10.81640625" style="55"/>
  </cols>
  <sheetData>
    <row r="1" spans="1:5" ht="52.5" x14ac:dyDescent="0.35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5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5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5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5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5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5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tabSelected="1" workbookViewId="0">
      <selection activeCell="B6" sqref="B6"/>
    </sheetView>
  </sheetViews>
  <sheetFormatPr defaultColWidth="11.453125" defaultRowHeight="12.5" x14ac:dyDescent="0.25"/>
  <cols>
    <col min="1" max="1" width="53" style="52" bestFit="1" customWidth="1"/>
    <col min="2" max="2" width="47.81640625" style="35" customWidth="1"/>
    <col min="3" max="3" width="42.453125" style="35" customWidth="1"/>
    <col min="4" max="16384" width="11.453125" style="35"/>
  </cols>
  <sheetData>
    <row r="1" spans="1:3" ht="13" x14ac:dyDescent="0.3">
      <c r="A1" s="40" t="s">
        <v>69</v>
      </c>
      <c r="B1" s="40" t="s">
        <v>180</v>
      </c>
      <c r="C1" s="40" t="s">
        <v>179</v>
      </c>
    </row>
    <row r="2" spans="1:3" x14ac:dyDescent="0.25">
      <c r="A2" s="88" t="s">
        <v>187</v>
      </c>
      <c r="B2" s="84" t="s">
        <v>59</v>
      </c>
      <c r="C2" s="84"/>
    </row>
    <row r="3" spans="1:3" x14ac:dyDescent="0.25">
      <c r="A3" s="88" t="s">
        <v>209</v>
      </c>
      <c r="B3" s="84" t="s">
        <v>59</v>
      </c>
      <c r="C3" s="84"/>
    </row>
    <row r="4" spans="1:3" x14ac:dyDescent="0.25">
      <c r="A4" s="89" t="s">
        <v>137</v>
      </c>
      <c r="B4" s="84" t="s">
        <v>136</v>
      </c>
      <c r="C4" s="84"/>
    </row>
    <row r="5" spans="1:3" x14ac:dyDescent="0.25">
      <c r="A5" s="89"/>
      <c r="B5" s="90"/>
      <c r="C5" s="90"/>
    </row>
    <row r="6" spans="1:3" x14ac:dyDescent="0.25">
      <c r="A6" s="89"/>
      <c r="B6" s="90"/>
      <c r="C6" s="90"/>
    </row>
    <row r="7" spans="1:3" x14ac:dyDescent="0.25">
      <c r="A7" s="89"/>
      <c r="B7" s="90"/>
      <c r="C7" s="90"/>
    </row>
    <row r="8" spans="1:3" x14ac:dyDescent="0.25">
      <c r="A8" s="89"/>
      <c r="B8" s="90"/>
      <c r="C8" s="90"/>
    </row>
    <row r="9" spans="1:3" x14ac:dyDescent="0.25">
      <c r="A9" s="89"/>
      <c r="B9" s="90"/>
      <c r="C9" s="90"/>
    </row>
    <row r="10" spans="1:3" x14ac:dyDescent="0.25">
      <c r="A10" s="89"/>
      <c r="B10" s="90"/>
      <c r="C10" s="90"/>
    </row>
    <row r="11" spans="1:3" x14ac:dyDescent="0.25">
      <c r="A11" s="91"/>
      <c r="B11" s="90"/>
      <c r="C11" s="90"/>
    </row>
    <row r="12" spans="1:3" x14ac:dyDescent="0.25">
      <c r="A12" s="91"/>
      <c r="B12" s="90"/>
      <c r="C12" s="90"/>
    </row>
    <row r="13" spans="1:3" x14ac:dyDescent="0.25">
      <c r="A13" s="91"/>
      <c r="B13" s="90"/>
      <c r="C13" s="90"/>
    </row>
    <row r="14" spans="1:3" x14ac:dyDescent="0.25">
      <c r="A14" s="91"/>
      <c r="B14" s="90"/>
      <c r="C14" s="90"/>
    </row>
    <row r="15" spans="1:3" x14ac:dyDescent="0.25">
      <c r="A15" s="91"/>
      <c r="B15" s="90"/>
      <c r="C15" s="90"/>
    </row>
    <row r="16" spans="1:3" x14ac:dyDescent="0.25">
      <c r="A16" s="91"/>
      <c r="B16" s="90"/>
      <c r="C16" s="90"/>
    </row>
    <row r="17" spans="1:3" x14ac:dyDescent="0.25">
      <c r="A17" s="91"/>
      <c r="B17" s="90"/>
      <c r="C17" s="90"/>
    </row>
    <row r="18" spans="1:3" x14ac:dyDescent="0.25">
      <c r="A18" s="91"/>
      <c r="B18" s="90"/>
      <c r="C18" s="90"/>
    </row>
    <row r="19" spans="1:3" x14ac:dyDescent="0.25">
      <c r="A19" s="89"/>
      <c r="B19" s="90"/>
      <c r="C19" s="90"/>
    </row>
    <row r="20" spans="1:3" x14ac:dyDescent="0.25">
      <c r="A20" s="89"/>
      <c r="B20" s="90"/>
      <c r="C20" s="90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G22" sqref="G22"/>
    </sheetView>
  </sheetViews>
  <sheetFormatPr defaultColWidth="11.453125" defaultRowHeight="12.5" x14ac:dyDescent="0.25"/>
  <cols>
    <col min="1" max="1" width="30.1796875" style="35" customWidth="1"/>
    <col min="2" max="16384" width="11.453125" style="35"/>
  </cols>
  <sheetData>
    <row r="1" spans="1:1" ht="13" x14ac:dyDescent="0.3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7.6938949396924974</v>
      </c>
      <c r="C2" s="26">
        <f>'Baseline year population inputs'!C52</f>
        <v>5.4550098378199898</v>
      </c>
      <c r="D2" s="26">
        <f>'Baseline year population inputs'!C53</f>
        <v>5.4550098378199898</v>
      </c>
      <c r="E2" s="26">
        <f>'Baseline year population inputs'!C54</f>
        <v>2.7709233906000001</v>
      </c>
      <c r="F2" s="26">
        <f>'Baseline year population inputs'!C55</f>
        <v>2.7709233906000001</v>
      </c>
    </row>
    <row r="3" spans="1:6" ht="15.75" customHeight="1" x14ac:dyDescent="0.25">
      <c r="A3" s="3" t="s">
        <v>65</v>
      </c>
      <c r="B3" s="26">
        <f>frac_mam_1month * 2.6</f>
        <v>0.10659999740000001</v>
      </c>
      <c r="C3" s="26">
        <f>frac_mam_1_5months * 2.6</f>
        <v>0.10659999740000001</v>
      </c>
      <c r="D3" s="26">
        <f>frac_mam_6_11months * 2.6</f>
        <v>0.10659999740000001</v>
      </c>
      <c r="E3" s="26">
        <f>frac_mam_12_23months * 2.6</f>
        <v>0.10659999740000001</v>
      </c>
      <c r="F3" s="26">
        <f>frac_mam_24_59months * 2.6</f>
        <v>0.10659999740000001</v>
      </c>
    </row>
    <row r="4" spans="1:6" ht="15.75" customHeight="1" x14ac:dyDescent="0.25">
      <c r="A4" s="3" t="s">
        <v>66</v>
      </c>
      <c r="B4" s="26">
        <f>frac_sam_1month * 2.6</f>
        <v>4.6800000000000008E-2</v>
      </c>
      <c r="C4" s="26">
        <f>frac_sam_1_5months * 2.6</f>
        <v>4.6800000000000008E-2</v>
      </c>
      <c r="D4" s="26">
        <f>frac_sam_6_11months * 2.6</f>
        <v>2.8600000000000004E-2</v>
      </c>
      <c r="E4" s="26">
        <f>frac_sam_12_23months * 2.6</f>
        <v>1.8199999999999997E-2</v>
      </c>
      <c r="F4" s="26">
        <f>frac_sam_24_59months * 2.6</f>
        <v>1.3000000000000001E-2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53125" defaultRowHeight="12.5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53125" defaultRowHeight="12.5" x14ac:dyDescent="0.25"/>
  <cols>
    <col min="1" max="1" width="33.7265625" style="35" customWidth="1"/>
    <col min="2" max="2" width="12.453125" style="35" customWidth="1"/>
    <col min="3" max="4" width="11.453125" style="35"/>
    <col min="5" max="5" width="17.453125" style="35" customWidth="1"/>
    <col min="6" max="16384" width="11.453125" style="35"/>
  </cols>
  <sheetData>
    <row r="1" spans="1:5" ht="13" x14ac:dyDescent="0.3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4" x14ac:dyDescent="0.3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" x14ac:dyDescent="0.3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" x14ac:dyDescent="0.3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" x14ac:dyDescent="0.3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" x14ac:dyDescent="0.3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" x14ac:dyDescent="0.3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" x14ac:dyDescent="0.3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" x14ac:dyDescent="0.3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" x14ac:dyDescent="0.3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1"/>
  <sheetViews>
    <sheetView zoomScale="50" zoomScaleNormal="50" workbookViewId="0">
      <selection activeCell="J39" sqref="J39"/>
    </sheetView>
  </sheetViews>
  <sheetFormatPr defaultColWidth="16.1796875" defaultRowHeight="15.75" customHeight="1" x14ac:dyDescent="0.35"/>
  <cols>
    <col min="1" max="1" width="22.26953125" style="57" bestFit="1" customWidth="1"/>
    <col min="2" max="2" width="58.81640625" style="57" bestFit="1" customWidth="1"/>
    <col min="3" max="3" width="9.453125" style="57" bestFit="1" customWidth="1"/>
    <col min="4" max="4" width="11.1796875" style="57" bestFit="1" customWidth="1"/>
    <col min="5" max="5" width="12" style="57" bestFit="1" customWidth="1"/>
    <col min="6" max="7" width="13.1796875" style="57" bestFit="1" customWidth="1"/>
    <col min="8" max="11" width="15.26953125" style="57" bestFit="1" customWidth="1"/>
    <col min="12" max="15" width="16.81640625" style="57" bestFit="1" customWidth="1"/>
    <col min="16" max="16384" width="16.1796875" style="57"/>
  </cols>
  <sheetData>
    <row r="1" spans="1:15" ht="15.75" customHeight="1" x14ac:dyDescent="0.35">
      <c r="A1" s="59" t="s">
        <v>33</v>
      </c>
      <c r="B1" s="94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5">
      <c r="A2" s="59" t="s">
        <v>31</v>
      </c>
      <c r="B2" s="52" t="s">
        <v>61</v>
      </c>
      <c r="C2" s="138">
        <v>0</v>
      </c>
      <c r="D2" s="138">
        <v>1</v>
      </c>
      <c r="E2" s="138">
        <v>1</v>
      </c>
      <c r="F2" s="138">
        <v>1</v>
      </c>
      <c r="G2" s="138">
        <v>1</v>
      </c>
      <c r="H2" s="138">
        <v>0</v>
      </c>
      <c r="I2" s="138">
        <v>0</v>
      </c>
      <c r="J2" s="138">
        <v>0</v>
      </c>
      <c r="K2" s="138">
        <v>0</v>
      </c>
      <c r="L2" s="138">
        <v>0</v>
      </c>
      <c r="M2" s="138">
        <v>0</v>
      </c>
      <c r="N2" s="138">
        <v>0</v>
      </c>
      <c r="O2" s="138">
        <v>0</v>
      </c>
    </row>
    <row r="3" spans="1:15" ht="15.75" customHeight="1" x14ac:dyDescent="0.35">
      <c r="B3" s="52" t="s">
        <v>149</v>
      </c>
      <c r="C3" s="138">
        <v>1</v>
      </c>
      <c r="D3" s="138">
        <v>1</v>
      </c>
      <c r="E3" s="138">
        <v>0</v>
      </c>
      <c r="F3" s="138">
        <v>0</v>
      </c>
      <c r="G3" s="138">
        <v>0</v>
      </c>
      <c r="H3" s="138">
        <v>0</v>
      </c>
      <c r="I3" s="138">
        <v>0</v>
      </c>
      <c r="J3" s="138">
        <v>0</v>
      </c>
      <c r="K3" s="138">
        <v>0</v>
      </c>
      <c r="L3" s="138">
        <v>0</v>
      </c>
      <c r="M3" s="138">
        <v>0</v>
      </c>
      <c r="N3" s="138">
        <v>0</v>
      </c>
      <c r="O3" s="138">
        <v>0</v>
      </c>
    </row>
    <row r="4" spans="1:15" ht="15.75" customHeight="1" x14ac:dyDescent="0.35">
      <c r="B4" s="52" t="s">
        <v>173</v>
      </c>
      <c r="C4" s="138">
        <v>1</v>
      </c>
      <c r="D4" s="138">
        <v>1</v>
      </c>
      <c r="E4" s="138">
        <v>1</v>
      </c>
      <c r="F4" s="138">
        <v>1</v>
      </c>
      <c r="G4" s="138">
        <v>1</v>
      </c>
      <c r="H4" s="138">
        <v>0</v>
      </c>
      <c r="I4" s="138">
        <v>0</v>
      </c>
      <c r="J4" s="138">
        <v>0</v>
      </c>
      <c r="K4" s="138">
        <v>0</v>
      </c>
      <c r="L4" s="138">
        <v>0</v>
      </c>
      <c r="M4" s="138">
        <v>0</v>
      </c>
      <c r="N4" s="138">
        <v>0</v>
      </c>
      <c r="O4" s="138">
        <v>0</v>
      </c>
    </row>
    <row r="5" spans="1:15" ht="15.75" customHeight="1" x14ac:dyDescent="0.35">
      <c r="B5" s="52" t="s">
        <v>199</v>
      </c>
      <c r="C5" s="138">
        <v>1</v>
      </c>
      <c r="D5" s="138">
        <v>1</v>
      </c>
      <c r="E5" s="138">
        <v>1</v>
      </c>
      <c r="F5" s="138">
        <v>1</v>
      </c>
      <c r="G5" s="138">
        <v>1</v>
      </c>
      <c r="H5" s="138">
        <v>0</v>
      </c>
      <c r="I5" s="138">
        <v>0</v>
      </c>
      <c r="J5" s="138">
        <v>0</v>
      </c>
      <c r="K5" s="138">
        <v>0</v>
      </c>
      <c r="L5" s="138">
        <v>0</v>
      </c>
      <c r="M5" s="138">
        <v>0</v>
      </c>
      <c r="N5" s="138">
        <v>0</v>
      </c>
      <c r="O5" s="138">
        <v>0</v>
      </c>
    </row>
    <row r="6" spans="1:15" ht="15.75" customHeight="1" x14ac:dyDescent="0.35">
      <c r="B6" s="52" t="s">
        <v>200</v>
      </c>
      <c r="C6" s="138">
        <v>1</v>
      </c>
      <c r="D6" s="138">
        <v>1</v>
      </c>
      <c r="E6" s="138">
        <v>1</v>
      </c>
      <c r="F6" s="138">
        <v>1</v>
      </c>
      <c r="G6" s="138">
        <v>1</v>
      </c>
      <c r="H6" s="138">
        <v>0</v>
      </c>
      <c r="I6" s="138">
        <v>0</v>
      </c>
      <c r="J6" s="138">
        <v>0</v>
      </c>
      <c r="K6" s="138">
        <v>0</v>
      </c>
      <c r="L6" s="138">
        <v>0</v>
      </c>
      <c r="M6" s="138">
        <v>0</v>
      </c>
      <c r="N6" s="138">
        <v>0</v>
      </c>
      <c r="O6" s="138">
        <v>0</v>
      </c>
    </row>
    <row r="7" spans="1:15" ht="15.75" customHeight="1" x14ac:dyDescent="0.35">
      <c r="B7" s="52" t="s">
        <v>196</v>
      </c>
      <c r="C7" s="138">
        <v>1</v>
      </c>
      <c r="D7" s="138">
        <v>1</v>
      </c>
      <c r="E7" s="138">
        <v>0</v>
      </c>
      <c r="F7" s="138">
        <v>0</v>
      </c>
      <c r="G7" s="138">
        <v>0</v>
      </c>
      <c r="H7" s="138">
        <v>0</v>
      </c>
      <c r="I7" s="138">
        <v>0</v>
      </c>
      <c r="J7" s="138">
        <v>0</v>
      </c>
      <c r="K7" s="138">
        <v>0</v>
      </c>
      <c r="L7" s="138">
        <v>0</v>
      </c>
      <c r="M7" s="138">
        <v>0</v>
      </c>
      <c r="N7" s="138">
        <v>0</v>
      </c>
      <c r="O7" s="138">
        <v>0</v>
      </c>
    </row>
    <row r="8" spans="1:15" ht="15.75" customHeight="1" x14ac:dyDescent="0.35">
      <c r="B8" s="52" t="s">
        <v>136</v>
      </c>
      <c r="C8" s="138">
        <v>0</v>
      </c>
      <c r="D8" s="138">
        <v>0</v>
      </c>
      <c r="E8" s="138">
        <v>1</v>
      </c>
      <c r="F8" s="138">
        <v>1</v>
      </c>
      <c r="G8" s="138">
        <v>0</v>
      </c>
      <c r="H8" s="138">
        <v>0</v>
      </c>
      <c r="I8" s="138">
        <v>0</v>
      </c>
      <c r="J8" s="138">
        <v>0</v>
      </c>
      <c r="K8" s="138">
        <v>0</v>
      </c>
      <c r="L8" s="138">
        <v>0</v>
      </c>
      <c r="M8" s="138">
        <v>0</v>
      </c>
      <c r="N8" s="138">
        <v>0</v>
      </c>
      <c r="O8" s="138">
        <v>0</v>
      </c>
    </row>
    <row r="9" spans="1:15" ht="15.75" customHeight="1" x14ac:dyDescent="0.35">
      <c r="B9" s="52" t="s">
        <v>137</v>
      </c>
      <c r="C9" s="138">
        <v>0</v>
      </c>
      <c r="D9" s="138">
        <v>0</v>
      </c>
      <c r="E9" s="138">
        <v>1</v>
      </c>
      <c r="F9" s="138">
        <v>1</v>
      </c>
      <c r="G9" s="138">
        <v>1</v>
      </c>
      <c r="H9" s="138">
        <v>0</v>
      </c>
      <c r="I9" s="138">
        <v>0</v>
      </c>
      <c r="J9" s="138">
        <v>0</v>
      </c>
      <c r="K9" s="138">
        <v>0</v>
      </c>
      <c r="L9" s="138">
        <v>0</v>
      </c>
      <c r="M9" s="138">
        <v>0</v>
      </c>
      <c r="N9" s="138">
        <v>0</v>
      </c>
      <c r="O9" s="138">
        <v>0</v>
      </c>
    </row>
    <row r="10" spans="1:15" ht="15.75" customHeight="1" x14ac:dyDescent="0.35">
      <c r="B10" s="52" t="s">
        <v>84</v>
      </c>
      <c r="C10" s="138">
        <v>1</v>
      </c>
      <c r="D10" s="138">
        <v>1</v>
      </c>
      <c r="E10" s="138">
        <v>1</v>
      </c>
      <c r="F10" s="138">
        <v>1</v>
      </c>
      <c r="G10" s="138">
        <v>1</v>
      </c>
      <c r="H10" s="138">
        <v>0</v>
      </c>
      <c r="I10" s="138">
        <v>0</v>
      </c>
      <c r="J10" s="138">
        <v>0</v>
      </c>
      <c r="K10" s="138">
        <v>0</v>
      </c>
      <c r="L10" s="138">
        <v>0</v>
      </c>
      <c r="M10" s="138">
        <v>0</v>
      </c>
      <c r="N10" s="138">
        <v>0</v>
      </c>
      <c r="O10" s="138">
        <v>0</v>
      </c>
    </row>
    <row r="11" spans="1:15" ht="15.75" customHeight="1" x14ac:dyDescent="0.35">
      <c r="B11" s="52" t="s">
        <v>58</v>
      </c>
      <c r="C11" s="138">
        <v>0</v>
      </c>
      <c r="D11" s="138">
        <v>0</v>
      </c>
      <c r="E11" s="138">
        <v>1</v>
      </c>
      <c r="F11" s="138">
        <v>1</v>
      </c>
      <c r="G11" s="138">
        <v>0</v>
      </c>
      <c r="H11" s="138">
        <v>0</v>
      </c>
      <c r="I11" s="138">
        <v>0</v>
      </c>
      <c r="J11" s="138">
        <v>0</v>
      </c>
      <c r="K11" s="138">
        <v>0</v>
      </c>
      <c r="L11" s="138">
        <v>0</v>
      </c>
      <c r="M11" s="138">
        <v>0</v>
      </c>
      <c r="N11" s="138">
        <v>0</v>
      </c>
      <c r="O11" s="138">
        <v>0</v>
      </c>
    </row>
    <row r="12" spans="1:15" ht="15.75" customHeight="1" x14ac:dyDescent="0.35">
      <c r="B12" s="52" t="s">
        <v>67</v>
      </c>
      <c r="C12" s="138">
        <v>0</v>
      </c>
      <c r="D12" s="138">
        <v>1</v>
      </c>
      <c r="E12" s="138">
        <v>1</v>
      </c>
      <c r="F12" s="138">
        <v>1</v>
      </c>
      <c r="G12" s="138">
        <v>1</v>
      </c>
      <c r="H12" s="138">
        <v>0</v>
      </c>
      <c r="I12" s="138">
        <v>0</v>
      </c>
      <c r="J12" s="138">
        <v>0</v>
      </c>
      <c r="K12" s="138">
        <v>0</v>
      </c>
      <c r="L12" s="138">
        <v>0</v>
      </c>
      <c r="M12" s="138">
        <v>0</v>
      </c>
      <c r="N12" s="138">
        <v>0</v>
      </c>
      <c r="O12" s="138">
        <v>0</v>
      </c>
    </row>
    <row r="13" spans="1:15" ht="15.75" customHeight="1" x14ac:dyDescent="0.35">
      <c r="B13" s="52" t="s">
        <v>28</v>
      </c>
      <c r="C13" s="138">
        <v>0</v>
      </c>
      <c r="D13" s="138">
        <v>0</v>
      </c>
      <c r="E13" s="138">
        <v>1</v>
      </c>
      <c r="F13" s="138">
        <v>1</v>
      </c>
      <c r="G13" s="138">
        <v>1</v>
      </c>
      <c r="H13" s="138">
        <v>0</v>
      </c>
      <c r="I13" s="138">
        <v>0</v>
      </c>
      <c r="J13" s="138">
        <v>0</v>
      </c>
      <c r="K13" s="138">
        <v>0</v>
      </c>
      <c r="L13" s="138">
        <v>0</v>
      </c>
      <c r="M13" s="138">
        <v>0</v>
      </c>
      <c r="N13" s="138">
        <v>0</v>
      </c>
      <c r="O13" s="138">
        <v>0</v>
      </c>
    </row>
    <row r="14" spans="1:15" ht="15.75" customHeight="1" x14ac:dyDescent="0.35">
      <c r="B14" s="52" t="s">
        <v>85</v>
      </c>
      <c r="C14" s="138">
        <v>1</v>
      </c>
      <c r="D14" s="138">
        <v>1</v>
      </c>
      <c r="E14" s="138">
        <v>1</v>
      </c>
      <c r="F14" s="138">
        <v>1</v>
      </c>
      <c r="G14" s="138">
        <v>1</v>
      </c>
      <c r="H14" s="138">
        <v>0</v>
      </c>
      <c r="I14" s="138">
        <v>0</v>
      </c>
      <c r="J14" s="138">
        <v>0</v>
      </c>
      <c r="K14" s="138">
        <v>0</v>
      </c>
      <c r="L14" s="138">
        <v>0</v>
      </c>
      <c r="M14" s="138">
        <v>0</v>
      </c>
      <c r="N14" s="138">
        <v>0</v>
      </c>
      <c r="O14" s="138">
        <v>0</v>
      </c>
    </row>
    <row r="15" spans="1:15" ht="15.75" customHeight="1" x14ac:dyDescent="0.35">
      <c r="B15" s="52" t="s">
        <v>60</v>
      </c>
      <c r="C15" s="138">
        <v>0</v>
      </c>
      <c r="D15" s="138">
        <v>0</v>
      </c>
      <c r="E15" s="138">
        <v>1</v>
      </c>
      <c r="F15" s="138">
        <v>1</v>
      </c>
      <c r="G15" s="138">
        <v>1</v>
      </c>
      <c r="H15" s="138">
        <v>0</v>
      </c>
      <c r="I15" s="138">
        <v>0</v>
      </c>
      <c r="J15" s="138">
        <v>0</v>
      </c>
      <c r="K15" s="138">
        <v>0</v>
      </c>
      <c r="L15" s="138">
        <v>0</v>
      </c>
      <c r="M15" s="138">
        <v>0</v>
      </c>
      <c r="N15" s="138">
        <v>0</v>
      </c>
      <c r="O15" s="138">
        <v>0</v>
      </c>
    </row>
    <row r="16" spans="1:15" ht="15.75" customHeight="1" x14ac:dyDescent="0.35">
      <c r="B16" s="52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</row>
    <row r="17" spans="1:16" ht="15.75" customHeight="1" x14ac:dyDescent="0.35">
      <c r="A17" s="59" t="s">
        <v>32</v>
      </c>
      <c r="B17" s="52" t="s">
        <v>29</v>
      </c>
      <c r="C17" s="138">
        <v>0</v>
      </c>
      <c r="D17" s="138">
        <v>0</v>
      </c>
      <c r="E17" s="138">
        <v>0</v>
      </c>
      <c r="F17" s="138">
        <v>0</v>
      </c>
      <c r="G17" s="138">
        <v>0</v>
      </c>
      <c r="H17" s="138">
        <v>1</v>
      </c>
      <c r="I17" s="138">
        <v>1</v>
      </c>
      <c r="J17" s="138">
        <v>1</v>
      </c>
      <c r="K17" s="138">
        <v>1</v>
      </c>
      <c r="L17" s="138">
        <v>0</v>
      </c>
      <c r="M17" s="138">
        <v>0</v>
      </c>
      <c r="N17" s="138">
        <v>0</v>
      </c>
      <c r="O17" s="138">
        <v>0</v>
      </c>
    </row>
    <row r="18" spans="1:16" ht="15.75" customHeight="1" x14ac:dyDescent="0.35">
      <c r="A18" s="59"/>
      <c r="B18" s="52" t="s">
        <v>86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1</v>
      </c>
      <c r="I18" s="138">
        <v>1</v>
      </c>
      <c r="J18" s="138">
        <v>1</v>
      </c>
      <c r="K18" s="138">
        <v>1</v>
      </c>
      <c r="L18" s="138">
        <v>0</v>
      </c>
      <c r="M18" s="138">
        <v>0</v>
      </c>
      <c r="N18" s="138">
        <v>0</v>
      </c>
      <c r="O18" s="138">
        <v>0</v>
      </c>
    </row>
    <row r="19" spans="1:16" ht="15.75" customHeight="1" x14ac:dyDescent="0.35">
      <c r="B19" s="95" t="s">
        <v>187</v>
      </c>
      <c r="C19" s="138">
        <v>0</v>
      </c>
      <c r="D19" s="138">
        <v>0</v>
      </c>
      <c r="E19" s="138">
        <v>0</v>
      </c>
      <c r="F19" s="138">
        <v>0</v>
      </c>
      <c r="G19" s="138">
        <v>0</v>
      </c>
      <c r="H19" s="138">
        <v>1</v>
      </c>
      <c r="I19" s="138">
        <v>1</v>
      </c>
      <c r="J19" s="138">
        <v>1</v>
      </c>
      <c r="K19" s="138">
        <v>1</v>
      </c>
      <c r="L19" s="138">
        <v>0</v>
      </c>
      <c r="M19" s="138">
        <v>0</v>
      </c>
      <c r="N19" s="138">
        <v>0</v>
      </c>
      <c r="O19" s="138">
        <v>0</v>
      </c>
    </row>
    <row r="20" spans="1:16" ht="15.75" customHeight="1" x14ac:dyDescent="0.35">
      <c r="B20" s="95" t="s">
        <v>209</v>
      </c>
      <c r="C20" s="138">
        <v>0</v>
      </c>
      <c r="D20" s="138">
        <v>0</v>
      </c>
      <c r="E20" s="138">
        <v>0</v>
      </c>
      <c r="F20" s="138">
        <v>0</v>
      </c>
      <c r="G20" s="138">
        <v>0</v>
      </c>
      <c r="H20" s="138">
        <v>1</v>
      </c>
      <c r="I20" s="138">
        <v>1</v>
      </c>
      <c r="J20" s="138">
        <v>1</v>
      </c>
      <c r="K20" s="138">
        <v>1</v>
      </c>
      <c r="L20" s="138">
        <v>0</v>
      </c>
      <c r="M20" s="138">
        <v>0</v>
      </c>
      <c r="N20" s="138">
        <v>0</v>
      </c>
      <c r="O20" s="138">
        <v>0</v>
      </c>
    </row>
    <row r="21" spans="1:16" ht="15.75" customHeight="1" x14ac:dyDescent="0.35">
      <c r="B21" s="96" t="s">
        <v>57</v>
      </c>
      <c r="C21" s="138">
        <v>0</v>
      </c>
      <c r="D21" s="138">
        <v>0</v>
      </c>
      <c r="E21" s="138">
        <v>0</v>
      </c>
      <c r="F21" s="138">
        <v>0</v>
      </c>
      <c r="G21" s="138">
        <v>0</v>
      </c>
      <c r="H21" s="138">
        <v>1</v>
      </c>
      <c r="I21" s="138">
        <v>1</v>
      </c>
      <c r="J21" s="138">
        <v>1</v>
      </c>
      <c r="K21" s="138">
        <v>1</v>
      </c>
      <c r="L21" s="138">
        <v>0</v>
      </c>
      <c r="M21" s="138">
        <v>0</v>
      </c>
      <c r="N21" s="138">
        <v>0</v>
      </c>
      <c r="O21" s="138">
        <v>0</v>
      </c>
    </row>
    <row r="22" spans="1:16" ht="15.75" customHeight="1" x14ac:dyDescent="0.35">
      <c r="B22" s="52" t="s">
        <v>88</v>
      </c>
      <c r="C22" s="138">
        <v>0</v>
      </c>
      <c r="D22" s="138">
        <v>0</v>
      </c>
      <c r="E22" s="138">
        <v>0</v>
      </c>
      <c r="F22" s="138">
        <v>0</v>
      </c>
      <c r="G22" s="138">
        <v>0</v>
      </c>
      <c r="H22" s="138">
        <v>1</v>
      </c>
      <c r="I22" s="138">
        <v>1</v>
      </c>
      <c r="J22" s="138">
        <v>1</v>
      </c>
      <c r="K22" s="138">
        <v>1</v>
      </c>
      <c r="L22" s="138">
        <v>0</v>
      </c>
      <c r="M22" s="138">
        <v>0</v>
      </c>
      <c r="N22" s="138">
        <v>0</v>
      </c>
      <c r="O22" s="138">
        <v>0</v>
      </c>
    </row>
    <row r="23" spans="1:16" ht="15.75" customHeight="1" x14ac:dyDescent="0.35">
      <c r="B23" s="52" t="s">
        <v>87</v>
      </c>
      <c r="C23" s="138">
        <v>0</v>
      </c>
      <c r="D23" s="138">
        <v>0</v>
      </c>
      <c r="E23" s="138">
        <v>0</v>
      </c>
      <c r="F23" s="138">
        <v>0</v>
      </c>
      <c r="G23" s="138">
        <v>0</v>
      </c>
      <c r="H23" s="138">
        <v>1</v>
      </c>
      <c r="I23" s="138">
        <v>1</v>
      </c>
      <c r="J23" s="138">
        <v>1</v>
      </c>
      <c r="K23" s="138">
        <v>1</v>
      </c>
      <c r="L23" s="138">
        <v>0</v>
      </c>
      <c r="M23" s="138">
        <v>0</v>
      </c>
      <c r="N23" s="138">
        <v>0</v>
      </c>
      <c r="O23" s="138">
        <v>0</v>
      </c>
    </row>
    <row r="24" spans="1:16" ht="15.75" customHeight="1" x14ac:dyDescent="0.35">
      <c r="B24" s="52" t="s">
        <v>59</v>
      </c>
      <c r="C24" s="138">
        <v>0</v>
      </c>
      <c r="D24" s="138">
        <v>0</v>
      </c>
      <c r="E24" s="138">
        <v>0</v>
      </c>
      <c r="F24" s="138">
        <v>0</v>
      </c>
      <c r="G24" s="138">
        <v>0</v>
      </c>
      <c r="H24" s="138">
        <v>1</v>
      </c>
      <c r="I24" s="138">
        <v>1</v>
      </c>
      <c r="J24" s="138">
        <v>1</v>
      </c>
      <c r="K24" s="138">
        <v>1</v>
      </c>
      <c r="L24" s="138">
        <v>0</v>
      </c>
      <c r="M24" s="138">
        <v>0</v>
      </c>
      <c r="N24" s="138">
        <v>0</v>
      </c>
      <c r="O24" s="138">
        <v>0</v>
      </c>
    </row>
    <row r="25" spans="1:16" ht="15.75" customHeight="1" x14ac:dyDescent="0.35">
      <c r="B25" s="52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</row>
    <row r="26" spans="1:16" ht="16.149999999999999" customHeight="1" x14ac:dyDescent="0.35">
      <c r="A26" s="59" t="s">
        <v>37</v>
      </c>
      <c r="B26" s="52" t="s">
        <v>198</v>
      </c>
      <c r="C26" s="138">
        <v>0</v>
      </c>
      <c r="D26" s="138">
        <v>0</v>
      </c>
      <c r="E26" s="138">
        <v>0</v>
      </c>
      <c r="F26" s="138">
        <v>0</v>
      </c>
      <c r="G26" s="138">
        <v>0</v>
      </c>
      <c r="H26" s="138">
        <v>0</v>
      </c>
      <c r="I26" s="138">
        <v>0</v>
      </c>
      <c r="J26" s="138">
        <v>0</v>
      </c>
      <c r="K26" s="138">
        <v>0</v>
      </c>
      <c r="L26" s="138">
        <v>1</v>
      </c>
      <c r="M26" s="138">
        <v>0</v>
      </c>
      <c r="N26" s="138">
        <v>0</v>
      </c>
      <c r="O26" s="138">
        <v>0</v>
      </c>
      <c r="P26" s="97"/>
    </row>
    <row r="27" spans="1:16" ht="15.75" customHeight="1" x14ac:dyDescent="0.35">
      <c r="B27" s="63" t="s">
        <v>188</v>
      </c>
      <c r="C27" s="138">
        <v>0</v>
      </c>
      <c r="D27" s="138">
        <v>0</v>
      </c>
      <c r="E27" s="138">
        <v>0</v>
      </c>
      <c r="F27" s="138">
        <v>0</v>
      </c>
      <c r="G27" s="138">
        <v>0</v>
      </c>
      <c r="H27" s="138">
        <v>0</v>
      </c>
      <c r="I27" s="138">
        <v>0</v>
      </c>
      <c r="J27" s="138">
        <v>0</v>
      </c>
      <c r="K27" s="138">
        <v>0</v>
      </c>
      <c r="L27" s="138">
        <v>1</v>
      </c>
      <c r="M27" s="138">
        <v>1</v>
      </c>
      <c r="N27" s="138">
        <v>1</v>
      </c>
      <c r="O27" s="138">
        <v>1</v>
      </c>
    </row>
    <row r="28" spans="1:16" ht="15.75" customHeight="1" x14ac:dyDescent="0.35">
      <c r="A28" s="59"/>
      <c r="B28" s="63" t="s">
        <v>208</v>
      </c>
      <c r="C28" s="138">
        <v>0</v>
      </c>
      <c r="D28" s="138">
        <v>0</v>
      </c>
      <c r="E28" s="138">
        <v>0</v>
      </c>
      <c r="F28" s="138">
        <v>0</v>
      </c>
      <c r="G28" s="138">
        <v>0</v>
      </c>
      <c r="H28" s="138">
        <v>0</v>
      </c>
      <c r="I28" s="138">
        <v>0</v>
      </c>
      <c r="J28" s="138">
        <v>0</v>
      </c>
      <c r="K28" s="138">
        <v>0</v>
      </c>
      <c r="L28" s="138">
        <v>1</v>
      </c>
      <c r="M28" s="138">
        <v>1</v>
      </c>
      <c r="N28" s="138">
        <v>1</v>
      </c>
      <c r="O28" s="138">
        <v>1</v>
      </c>
    </row>
    <row r="29" spans="1:16" ht="15.75" customHeight="1" x14ac:dyDescent="0.35">
      <c r="B29" s="63" t="s">
        <v>189</v>
      </c>
      <c r="C29" s="138">
        <v>0</v>
      </c>
      <c r="D29" s="138">
        <v>0</v>
      </c>
      <c r="E29" s="138">
        <v>0</v>
      </c>
      <c r="F29" s="138">
        <v>0</v>
      </c>
      <c r="G29" s="138">
        <v>0</v>
      </c>
      <c r="H29" s="138">
        <v>0</v>
      </c>
      <c r="I29" s="138">
        <v>0</v>
      </c>
      <c r="J29" s="138">
        <v>0</v>
      </c>
      <c r="K29" s="138">
        <v>0</v>
      </c>
      <c r="L29" s="138">
        <v>1</v>
      </c>
      <c r="M29" s="138">
        <v>1</v>
      </c>
      <c r="N29" s="138">
        <v>1</v>
      </c>
      <c r="O29" s="138">
        <v>1</v>
      </c>
    </row>
    <row r="30" spans="1:16" ht="15.75" customHeight="1" x14ac:dyDescent="0.35">
      <c r="B30" s="63" t="s">
        <v>190</v>
      </c>
      <c r="C30" s="138">
        <v>0</v>
      </c>
      <c r="D30" s="138">
        <v>0</v>
      </c>
      <c r="E30" s="138">
        <v>0</v>
      </c>
      <c r="F30" s="138">
        <v>0</v>
      </c>
      <c r="G30" s="138">
        <v>0</v>
      </c>
      <c r="H30" s="138">
        <v>0</v>
      </c>
      <c r="I30" s="138">
        <v>0</v>
      </c>
      <c r="J30" s="138">
        <v>0</v>
      </c>
      <c r="K30" s="138">
        <v>0</v>
      </c>
      <c r="L30" s="138">
        <v>1</v>
      </c>
      <c r="M30" s="138">
        <v>0</v>
      </c>
      <c r="N30" s="138">
        <v>0</v>
      </c>
      <c r="O30" s="138">
        <v>0</v>
      </c>
    </row>
    <row r="31" spans="1:16" ht="15.75" customHeight="1" x14ac:dyDescent="0.35">
      <c r="B31" s="52"/>
      <c r="C31" s="135"/>
      <c r="D31" s="135"/>
      <c r="E31" s="136"/>
      <c r="F31" s="136"/>
      <c r="G31" s="136"/>
      <c r="H31" s="136"/>
      <c r="I31" s="136"/>
      <c r="J31" s="134"/>
      <c r="K31" s="134"/>
      <c r="L31" s="134"/>
      <c r="M31" s="134"/>
      <c r="N31" s="134"/>
      <c r="O31" s="134"/>
    </row>
    <row r="32" spans="1:16" ht="15.75" customHeight="1" x14ac:dyDescent="0.35">
      <c r="A32" s="59" t="s">
        <v>35</v>
      </c>
      <c r="B32" s="52" t="s">
        <v>63</v>
      </c>
      <c r="C32" s="138">
        <v>1</v>
      </c>
      <c r="D32" s="138">
        <v>0</v>
      </c>
      <c r="E32" s="138">
        <v>1</v>
      </c>
      <c r="F32" s="138">
        <v>1</v>
      </c>
      <c r="G32" s="138">
        <v>1</v>
      </c>
      <c r="H32" s="138">
        <v>1</v>
      </c>
      <c r="I32" s="138">
        <v>1</v>
      </c>
      <c r="J32" s="138">
        <v>1</v>
      </c>
      <c r="K32" s="138">
        <v>1</v>
      </c>
      <c r="L32" s="138">
        <v>1</v>
      </c>
      <c r="M32" s="138">
        <v>1</v>
      </c>
      <c r="N32" s="138">
        <v>1</v>
      </c>
      <c r="O32" s="138">
        <v>1</v>
      </c>
    </row>
    <row r="33" spans="1:15" ht="15.75" customHeight="1" x14ac:dyDescent="0.35">
      <c r="B33" s="52" t="s">
        <v>64</v>
      </c>
      <c r="C33" s="138">
        <v>1</v>
      </c>
      <c r="D33" s="138">
        <v>0</v>
      </c>
      <c r="E33" s="138">
        <v>1</v>
      </c>
      <c r="F33" s="138">
        <v>1</v>
      </c>
      <c r="G33" s="138">
        <v>1</v>
      </c>
      <c r="H33" s="138">
        <v>1</v>
      </c>
      <c r="I33" s="138">
        <v>1</v>
      </c>
      <c r="J33" s="138">
        <v>1</v>
      </c>
      <c r="K33" s="138">
        <v>1</v>
      </c>
      <c r="L33" s="138">
        <v>1</v>
      </c>
      <c r="M33" s="138">
        <v>1</v>
      </c>
      <c r="N33" s="138">
        <v>1</v>
      </c>
      <c r="O33" s="138">
        <v>1</v>
      </c>
    </row>
    <row r="34" spans="1:15" ht="15.75" customHeight="1" x14ac:dyDescent="0.35">
      <c r="B34" s="52" t="s">
        <v>62</v>
      </c>
      <c r="C34" s="138">
        <v>1</v>
      </c>
      <c r="D34" s="138">
        <v>0</v>
      </c>
      <c r="E34" s="138">
        <v>1</v>
      </c>
      <c r="F34" s="138">
        <v>1</v>
      </c>
      <c r="G34" s="138">
        <v>1</v>
      </c>
      <c r="H34" s="138">
        <v>1</v>
      </c>
      <c r="I34" s="138">
        <v>1</v>
      </c>
      <c r="J34" s="138">
        <v>1</v>
      </c>
      <c r="K34" s="138">
        <v>1</v>
      </c>
      <c r="L34" s="138">
        <v>1</v>
      </c>
      <c r="M34" s="138">
        <v>1</v>
      </c>
      <c r="N34" s="138">
        <v>1</v>
      </c>
      <c r="O34" s="138">
        <v>1</v>
      </c>
    </row>
    <row r="35" spans="1:15" ht="15.75" customHeight="1" x14ac:dyDescent="0.35">
      <c r="B35" s="52" t="s">
        <v>47</v>
      </c>
      <c r="C35" s="138">
        <v>1</v>
      </c>
      <c r="D35" s="138">
        <v>0</v>
      </c>
      <c r="E35" s="138">
        <v>1</v>
      </c>
      <c r="F35" s="138">
        <v>1</v>
      </c>
      <c r="G35" s="138">
        <v>1</v>
      </c>
      <c r="H35" s="138">
        <v>1</v>
      </c>
      <c r="I35" s="138">
        <v>1</v>
      </c>
      <c r="J35" s="138">
        <v>1</v>
      </c>
      <c r="K35" s="138">
        <v>1</v>
      </c>
      <c r="L35" s="138">
        <v>1</v>
      </c>
      <c r="M35" s="138">
        <v>1</v>
      </c>
      <c r="N35" s="138">
        <v>1</v>
      </c>
      <c r="O35" s="138">
        <v>1</v>
      </c>
    </row>
    <row r="36" spans="1:15" ht="15.75" customHeight="1" x14ac:dyDescent="0.35">
      <c r="B36" s="52" t="s">
        <v>34</v>
      </c>
      <c r="C36" s="138">
        <v>1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  <c r="I36" s="138">
        <v>1</v>
      </c>
      <c r="J36" s="138">
        <v>1</v>
      </c>
      <c r="K36" s="138">
        <v>1</v>
      </c>
      <c r="L36" s="138">
        <v>1</v>
      </c>
      <c r="M36" s="138">
        <v>1</v>
      </c>
      <c r="N36" s="138">
        <v>1</v>
      </c>
      <c r="O36" s="138">
        <v>1</v>
      </c>
    </row>
    <row r="37" spans="1:15" ht="15.75" customHeight="1" x14ac:dyDescent="0.35">
      <c r="A37" s="98"/>
      <c r="B37" s="52" t="s">
        <v>83</v>
      </c>
      <c r="C37" s="138">
        <v>1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  <c r="I37" s="138">
        <v>1</v>
      </c>
      <c r="J37" s="138">
        <v>1</v>
      </c>
      <c r="K37" s="138">
        <v>1</v>
      </c>
      <c r="L37" s="138">
        <v>1</v>
      </c>
      <c r="M37" s="138">
        <v>1</v>
      </c>
      <c r="N37" s="138">
        <v>1</v>
      </c>
      <c r="O37" s="138">
        <v>1</v>
      </c>
    </row>
    <row r="38" spans="1:15" s="98" customFormat="1" ht="15.75" customHeight="1" x14ac:dyDescent="0.35">
      <c r="B38" s="52" t="s">
        <v>82</v>
      </c>
      <c r="C38" s="138">
        <v>1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  <c r="I38" s="138">
        <v>1</v>
      </c>
      <c r="J38" s="138">
        <v>1</v>
      </c>
      <c r="K38" s="138">
        <v>1</v>
      </c>
      <c r="L38" s="138">
        <v>1</v>
      </c>
      <c r="M38" s="138">
        <v>1</v>
      </c>
      <c r="N38" s="138">
        <v>1</v>
      </c>
      <c r="O38" s="138">
        <v>1</v>
      </c>
    </row>
    <row r="39" spans="1:15" s="98" customFormat="1" ht="15.75" customHeight="1" x14ac:dyDescent="0.35">
      <c r="B39" s="52" t="s">
        <v>81</v>
      </c>
      <c r="C39" s="138">
        <v>1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  <c r="I39" s="138">
        <v>1</v>
      </c>
      <c r="J39" s="138">
        <v>1</v>
      </c>
      <c r="K39" s="138">
        <v>1</v>
      </c>
      <c r="L39" s="138">
        <v>1</v>
      </c>
      <c r="M39" s="138">
        <v>1</v>
      </c>
      <c r="N39" s="138">
        <v>1</v>
      </c>
      <c r="O39" s="138">
        <v>1</v>
      </c>
    </row>
    <row r="40" spans="1:15" s="98" customFormat="1" ht="15.75" customHeight="1" x14ac:dyDescent="0.35">
      <c r="B40" s="52" t="s">
        <v>79</v>
      </c>
      <c r="C40" s="138">
        <v>1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  <c r="I40" s="138">
        <v>1</v>
      </c>
      <c r="J40" s="138">
        <v>1</v>
      </c>
      <c r="K40" s="138">
        <v>1</v>
      </c>
      <c r="L40" s="138">
        <v>1</v>
      </c>
      <c r="M40" s="138">
        <v>1</v>
      </c>
      <c r="N40" s="138">
        <v>1</v>
      </c>
      <c r="O40" s="138">
        <v>1</v>
      </c>
    </row>
    <row r="41" spans="1:15" ht="15" customHeight="1" x14ac:dyDescent="0.35">
      <c r="B41" s="52" t="s">
        <v>80</v>
      </c>
      <c r="C41" s="138">
        <v>1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  <c r="I41" s="138">
        <v>1</v>
      </c>
      <c r="J41" s="138">
        <v>1</v>
      </c>
      <c r="K41" s="138">
        <v>1</v>
      </c>
      <c r="L41" s="138">
        <v>1</v>
      </c>
      <c r="M41" s="138">
        <v>1</v>
      </c>
      <c r="N41" s="138">
        <v>1</v>
      </c>
      <c r="O41" s="138">
        <v>1</v>
      </c>
    </row>
  </sheetData>
  <sheetProtection algorithmName="SHA-512" hashValue="UTAD6hDPFf/Ul0P2TkEmcVLwJIskng6BwO7PQn9KQppd8AxlpMXDzh2uUA/A2vdLAdLHbrkvLJZl/FHFHl0BRA==" saltValue="WyzBb18fC4LyksUq9iofgA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265625" defaultRowHeight="12.5" x14ac:dyDescent="0.25"/>
  <cols>
    <col min="1" max="1" width="58.81640625" style="35" bestFit="1" customWidth="1"/>
    <col min="2" max="2" width="8.7265625" style="35" bestFit="1" customWidth="1"/>
    <col min="3" max="3" width="8.81640625" style="35" bestFit="1" customWidth="1"/>
    <col min="4" max="4" width="18.26953125" style="35" bestFit="1" customWidth="1"/>
    <col min="5" max="5" width="17.453125" style="35" bestFit="1" customWidth="1"/>
    <col min="6" max="6" width="13.54296875" style="35" bestFit="1" customWidth="1"/>
    <col min="7" max="7" width="9.7265625" style="35" bestFit="1" customWidth="1"/>
    <col min="8" max="8" width="8.81640625" style="35" bestFit="1" customWidth="1"/>
    <col min="9" max="9" width="14.7265625" style="35" bestFit="1" customWidth="1"/>
    <col min="10" max="10" width="15.26953125" style="35" bestFit="1" customWidth="1"/>
    <col min="11" max="16384" width="12.7265625" style="35"/>
  </cols>
  <sheetData>
    <row r="1" spans="1:11" ht="13" x14ac:dyDescent="0.3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8"/>
      <c r="C2" s="138"/>
      <c r="D2" s="138"/>
      <c r="E2" s="138"/>
      <c r="F2" s="138"/>
      <c r="G2" s="138"/>
      <c r="H2" s="138"/>
      <c r="I2" s="138" t="s">
        <v>194</v>
      </c>
      <c r="J2" s="138"/>
      <c r="K2" s="138"/>
    </row>
    <row r="3" spans="1:11" x14ac:dyDescent="0.25">
      <c r="A3" s="52" t="s">
        <v>86</v>
      </c>
      <c r="B3" s="138"/>
      <c r="C3" s="138"/>
      <c r="D3" s="138"/>
      <c r="E3" s="138"/>
      <c r="F3" s="138"/>
      <c r="G3" s="138"/>
      <c r="H3" s="138" t="s">
        <v>194</v>
      </c>
      <c r="I3" s="138"/>
      <c r="J3" s="138"/>
      <c r="K3" s="138"/>
    </row>
    <row r="4" spans="1:11" x14ac:dyDescent="0.25">
      <c r="A4" s="52" t="s">
        <v>61</v>
      </c>
      <c r="B4" s="138"/>
      <c r="C4" s="138"/>
      <c r="D4" s="138" t="s">
        <v>194</v>
      </c>
      <c r="E4" s="138"/>
      <c r="F4" s="138"/>
      <c r="G4" s="138"/>
      <c r="H4" s="138"/>
      <c r="I4" s="138"/>
      <c r="J4" s="138"/>
      <c r="K4" s="138"/>
    </row>
    <row r="5" spans="1:11" x14ac:dyDescent="0.25">
      <c r="A5" s="52" t="s">
        <v>149</v>
      </c>
      <c r="B5" s="138"/>
      <c r="C5" s="138" t="s">
        <v>194</v>
      </c>
      <c r="D5" s="138"/>
      <c r="E5" s="138"/>
      <c r="F5" s="138"/>
      <c r="G5" s="138"/>
      <c r="H5" s="138"/>
      <c r="I5" s="138"/>
      <c r="J5" s="138"/>
      <c r="K5" s="138"/>
    </row>
    <row r="6" spans="1:11" x14ac:dyDescent="0.25">
      <c r="A6" s="52" t="s">
        <v>198</v>
      </c>
      <c r="B6" s="138"/>
      <c r="C6" s="138"/>
      <c r="D6" s="138"/>
      <c r="E6" s="138"/>
      <c r="F6" s="138"/>
      <c r="G6" s="138"/>
      <c r="H6" s="138"/>
      <c r="I6" s="138"/>
      <c r="J6" s="138" t="s">
        <v>194</v>
      </c>
      <c r="K6" s="138" t="s">
        <v>194</v>
      </c>
    </row>
    <row r="7" spans="1:11" x14ac:dyDescent="0.25">
      <c r="A7" s="52" t="s">
        <v>63</v>
      </c>
      <c r="B7" s="138"/>
      <c r="C7" s="138" t="s">
        <v>194</v>
      </c>
      <c r="D7" s="138"/>
      <c r="E7" s="138"/>
      <c r="F7" s="138"/>
      <c r="G7" s="138"/>
      <c r="H7" s="138" t="s">
        <v>194</v>
      </c>
      <c r="I7" s="138"/>
      <c r="J7" s="138"/>
      <c r="K7" s="138"/>
    </row>
    <row r="8" spans="1:11" x14ac:dyDescent="0.25">
      <c r="A8" s="52" t="s">
        <v>64</v>
      </c>
      <c r="B8" s="138"/>
      <c r="C8" s="138" t="s">
        <v>194</v>
      </c>
      <c r="D8" s="138"/>
      <c r="E8" s="138"/>
      <c r="F8" s="138"/>
      <c r="G8" s="138"/>
      <c r="H8" s="138" t="s">
        <v>194</v>
      </c>
      <c r="I8" s="138"/>
      <c r="J8" s="138"/>
      <c r="K8" s="138"/>
    </row>
    <row r="9" spans="1:11" x14ac:dyDescent="0.25">
      <c r="A9" s="52" t="s">
        <v>62</v>
      </c>
      <c r="B9" s="138"/>
      <c r="C9" s="138" t="s">
        <v>194</v>
      </c>
      <c r="D9" s="138"/>
      <c r="E9" s="138"/>
      <c r="F9" s="138"/>
      <c r="G9" s="138"/>
      <c r="H9" s="138" t="s">
        <v>194</v>
      </c>
      <c r="I9" s="138"/>
      <c r="J9" s="138"/>
      <c r="K9" s="138"/>
    </row>
    <row r="10" spans="1:11" x14ac:dyDescent="0.25">
      <c r="A10" s="63" t="s">
        <v>188</v>
      </c>
      <c r="B10" s="138"/>
      <c r="C10" s="138" t="s">
        <v>194</v>
      </c>
      <c r="D10" s="138"/>
      <c r="E10" s="138"/>
      <c r="F10" s="138"/>
      <c r="G10" s="138"/>
      <c r="H10" s="138"/>
      <c r="I10" s="138"/>
      <c r="J10" s="138"/>
      <c r="K10" s="138"/>
    </row>
    <row r="11" spans="1:11" x14ac:dyDescent="0.25">
      <c r="A11" s="63" t="s">
        <v>208</v>
      </c>
      <c r="B11" s="138"/>
      <c r="C11" s="138" t="s">
        <v>194</v>
      </c>
      <c r="D11" s="138"/>
      <c r="E11" s="138"/>
      <c r="F11" s="138"/>
      <c r="G11" s="138"/>
      <c r="H11" s="138"/>
      <c r="I11" s="138"/>
      <c r="J11" s="138"/>
      <c r="K11" s="138"/>
    </row>
    <row r="12" spans="1:11" x14ac:dyDescent="0.25">
      <c r="A12" s="63" t="s">
        <v>189</v>
      </c>
      <c r="B12" s="138"/>
      <c r="C12" s="138" t="s">
        <v>194</v>
      </c>
      <c r="D12" s="138"/>
      <c r="E12" s="138"/>
      <c r="F12" s="138"/>
      <c r="G12" s="138"/>
      <c r="H12" s="138"/>
      <c r="I12" s="138"/>
      <c r="J12" s="138"/>
      <c r="K12" s="138"/>
    </row>
    <row r="13" spans="1:11" x14ac:dyDescent="0.25">
      <c r="A13" s="63" t="s">
        <v>190</v>
      </c>
      <c r="B13" s="138"/>
      <c r="C13" s="138" t="s">
        <v>194</v>
      </c>
      <c r="D13" s="138"/>
      <c r="E13" s="138"/>
      <c r="F13" s="138"/>
      <c r="G13" s="138"/>
      <c r="H13" s="138"/>
      <c r="I13" s="138"/>
      <c r="J13" s="138"/>
      <c r="K13" s="138"/>
    </row>
    <row r="14" spans="1:11" x14ac:dyDescent="0.25">
      <c r="A14" s="95" t="s">
        <v>187</v>
      </c>
      <c r="B14" s="138"/>
      <c r="C14" s="138" t="s">
        <v>194</v>
      </c>
      <c r="D14" s="138"/>
      <c r="E14" s="138"/>
      <c r="F14" s="138"/>
      <c r="G14" s="138"/>
      <c r="H14" s="138"/>
      <c r="I14" s="138" t="s">
        <v>194</v>
      </c>
      <c r="J14" s="138"/>
      <c r="K14" s="138"/>
    </row>
    <row r="15" spans="1:11" x14ac:dyDescent="0.25">
      <c r="A15" s="95" t="s">
        <v>209</v>
      </c>
      <c r="B15" s="138"/>
      <c r="C15" s="138" t="s">
        <v>194</v>
      </c>
      <c r="D15" s="138"/>
      <c r="E15" s="138"/>
      <c r="F15" s="138"/>
      <c r="G15" s="138"/>
      <c r="H15" s="138"/>
      <c r="I15" s="138" t="s">
        <v>194</v>
      </c>
      <c r="J15" s="138"/>
      <c r="K15" s="138"/>
    </row>
    <row r="16" spans="1:11" x14ac:dyDescent="0.25">
      <c r="A16" s="52" t="s">
        <v>57</v>
      </c>
      <c r="B16" s="138"/>
      <c r="C16" s="138" t="s">
        <v>194</v>
      </c>
      <c r="D16" s="138"/>
      <c r="E16" s="138"/>
      <c r="F16" s="138"/>
      <c r="G16" s="138"/>
      <c r="H16" s="138" t="s">
        <v>194</v>
      </c>
      <c r="I16" s="138" t="s">
        <v>194</v>
      </c>
      <c r="J16" s="138"/>
      <c r="K16" s="138"/>
    </row>
    <row r="17" spans="1:11" x14ac:dyDescent="0.25">
      <c r="A17" s="52" t="s">
        <v>47</v>
      </c>
      <c r="B17" s="138"/>
      <c r="C17" s="138" t="s">
        <v>194</v>
      </c>
      <c r="D17" s="138"/>
      <c r="E17" s="138"/>
      <c r="F17" s="138"/>
      <c r="G17" s="138"/>
      <c r="H17" s="138"/>
      <c r="I17" s="138"/>
      <c r="J17" s="138"/>
      <c r="K17" s="138"/>
    </row>
    <row r="18" spans="1:11" x14ac:dyDescent="0.25">
      <c r="A18" s="52" t="s">
        <v>173</v>
      </c>
      <c r="B18" s="138" t="s">
        <v>194</v>
      </c>
      <c r="C18" s="138"/>
      <c r="D18" s="138"/>
      <c r="E18" s="138"/>
      <c r="F18" s="138" t="s">
        <v>194</v>
      </c>
      <c r="G18" s="138"/>
      <c r="H18" s="138"/>
      <c r="I18" s="138"/>
      <c r="J18" s="138"/>
      <c r="K18" s="138"/>
    </row>
    <row r="19" spans="1:11" x14ac:dyDescent="0.25">
      <c r="A19" s="52" t="s">
        <v>199</v>
      </c>
      <c r="B19" s="138" t="s">
        <v>194</v>
      </c>
      <c r="C19" s="138"/>
      <c r="D19" s="138"/>
      <c r="E19" s="138"/>
      <c r="F19" s="138" t="s">
        <v>194</v>
      </c>
      <c r="G19" s="138"/>
      <c r="H19" s="138"/>
      <c r="I19" s="138"/>
      <c r="J19" s="138"/>
      <c r="K19" s="138"/>
    </row>
    <row r="20" spans="1:11" x14ac:dyDescent="0.25">
      <c r="A20" s="52" t="s">
        <v>200</v>
      </c>
      <c r="B20" s="138" t="s">
        <v>194</v>
      </c>
      <c r="C20" s="138"/>
      <c r="D20" s="138"/>
      <c r="E20" s="138"/>
      <c r="F20" s="138" t="s">
        <v>194</v>
      </c>
      <c r="G20" s="138"/>
      <c r="H20" s="138"/>
      <c r="I20" s="138"/>
      <c r="J20" s="138"/>
      <c r="K20" s="138"/>
    </row>
    <row r="21" spans="1:11" x14ac:dyDescent="0.25">
      <c r="A21" s="52" t="s">
        <v>196</v>
      </c>
      <c r="B21" s="138"/>
      <c r="C21" s="138"/>
      <c r="D21" s="138"/>
      <c r="E21" s="138"/>
      <c r="F21" s="138"/>
      <c r="G21" s="138"/>
      <c r="H21" s="138" t="s">
        <v>194</v>
      </c>
      <c r="I21" s="138" t="s">
        <v>194</v>
      </c>
      <c r="J21" s="138"/>
      <c r="K21" s="138"/>
    </row>
    <row r="22" spans="1:11" x14ac:dyDescent="0.25">
      <c r="A22" s="52" t="s">
        <v>136</v>
      </c>
      <c r="B22" s="138" t="s">
        <v>194</v>
      </c>
      <c r="C22" s="138" t="s">
        <v>194</v>
      </c>
      <c r="D22" s="138" t="s">
        <v>194</v>
      </c>
      <c r="E22" s="138"/>
      <c r="F22" s="138"/>
      <c r="G22" s="138"/>
      <c r="H22" s="138"/>
      <c r="I22" s="138"/>
      <c r="J22" s="138"/>
      <c r="K22" s="138"/>
    </row>
    <row r="23" spans="1:11" x14ac:dyDescent="0.25">
      <c r="A23" s="52" t="s">
        <v>34</v>
      </c>
      <c r="B23" s="138"/>
      <c r="C23" s="138" t="s">
        <v>194</v>
      </c>
      <c r="D23" s="138"/>
      <c r="E23" s="138"/>
      <c r="F23" s="138"/>
      <c r="G23" s="138"/>
      <c r="H23" s="138"/>
      <c r="I23" s="138" t="s">
        <v>194</v>
      </c>
      <c r="J23" s="138"/>
      <c r="K23" s="138"/>
    </row>
    <row r="24" spans="1:11" x14ac:dyDescent="0.25">
      <c r="A24" s="52" t="s">
        <v>88</v>
      </c>
      <c r="B24" s="138"/>
      <c r="C24" s="138"/>
      <c r="D24" s="138"/>
      <c r="E24" s="138"/>
      <c r="F24" s="138"/>
      <c r="G24" s="138"/>
      <c r="H24" s="138" t="s">
        <v>194</v>
      </c>
      <c r="I24" s="138"/>
      <c r="J24" s="138"/>
      <c r="K24" s="138"/>
    </row>
    <row r="25" spans="1:11" x14ac:dyDescent="0.25">
      <c r="A25" s="52" t="s">
        <v>87</v>
      </c>
      <c r="B25" s="138"/>
      <c r="C25" s="138"/>
      <c r="D25" s="138"/>
      <c r="E25" s="138"/>
      <c r="F25" s="138"/>
      <c r="G25" s="138"/>
      <c r="H25" s="138" t="s">
        <v>194</v>
      </c>
      <c r="I25" s="138"/>
      <c r="J25" s="138"/>
      <c r="K25" s="138"/>
    </row>
    <row r="26" spans="1:11" x14ac:dyDescent="0.25">
      <c r="A26" s="52" t="s">
        <v>137</v>
      </c>
      <c r="B26" s="138"/>
      <c r="C26" s="138" t="s">
        <v>194</v>
      </c>
      <c r="D26" s="138"/>
      <c r="E26" s="138"/>
      <c r="F26" s="138"/>
      <c r="G26" s="138"/>
      <c r="H26" s="138"/>
      <c r="I26" s="138"/>
      <c r="J26" s="138"/>
      <c r="K26" s="138"/>
    </row>
    <row r="27" spans="1:11" x14ac:dyDescent="0.25">
      <c r="A27" s="52" t="s">
        <v>59</v>
      </c>
      <c r="B27" s="138"/>
      <c r="C27" s="138" t="s">
        <v>194</v>
      </c>
      <c r="D27" s="138"/>
      <c r="E27" s="138"/>
      <c r="F27" s="138"/>
      <c r="G27" s="138"/>
      <c r="H27" s="138"/>
      <c r="I27" s="138" t="s">
        <v>194</v>
      </c>
      <c r="J27" s="138"/>
      <c r="K27" s="138"/>
    </row>
    <row r="28" spans="1:11" x14ac:dyDescent="0.25">
      <c r="A28" s="52" t="s">
        <v>84</v>
      </c>
      <c r="B28" s="138"/>
      <c r="C28" s="138"/>
      <c r="D28" s="138"/>
      <c r="E28" s="138"/>
      <c r="F28" s="138"/>
      <c r="G28" s="138"/>
      <c r="H28" s="138" t="s">
        <v>194</v>
      </c>
      <c r="I28" s="138"/>
      <c r="J28" s="138"/>
      <c r="K28" s="138"/>
    </row>
    <row r="29" spans="1:11" x14ac:dyDescent="0.25">
      <c r="A29" s="52" t="s">
        <v>58</v>
      </c>
      <c r="B29" s="138" t="s">
        <v>194</v>
      </c>
      <c r="C29" s="138"/>
      <c r="D29" s="138" t="s">
        <v>194</v>
      </c>
      <c r="E29" s="138"/>
      <c r="F29" s="138"/>
      <c r="G29" s="138"/>
      <c r="H29" s="138"/>
      <c r="I29" s="138"/>
      <c r="J29" s="138"/>
      <c r="K29" s="138"/>
    </row>
    <row r="30" spans="1:11" x14ac:dyDescent="0.25">
      <c r="A30" s="52" t="s">
        <v>67</v>
      </c>
      <c r="B30" s="138"/>
      <c r="C30" s="138"/>
      <c r="D30" s="138"/>
      <c r="E30" s="138" t="s">
        <v>194</v>
      </c>
      <c r="F30" s="138"/>
      <c r="G30" s="138"/>
      <c r="H30" s="138"/>
      <c r="I30" s="138"/>
      <c r="J30" s="138"/>
      <c r="K30" s="138"/>
    </row>
    <row r="31" spans="1:11" x14ac:dyDescent="0.25">
      <c r="A31" s="52" t="s">
        <v>28</v>
      </c>
      <c r="B31" s="138"/>
      <c r="C31" s="138"/>
      <c r="D31" s="138"/>
      <c r="E31" s="138"/>
      <c r="F31" s="138"/>
      <c r="G31" s="138" t="s">
        <v>194</v>
      </c>
      <c r="H31" s="138" t="s">
        <v>194</v>
      </c>
      <c r="I31" s="138"/>
      <c r="J31" s="138"/>
      <c r="K31" s="138"/>
    </row>
    <row r="32" spans="1:11" x14ac:dyDescent="0.25">
      <c r="A32" s="52" t="s">
        <v>83</v>
      </c>
      <c r="B32" s="138"/>
      <c r="C32" s="138"/>
      <c r="D32" s="138"/>
      <c r="E32" s="138"/>
      <c r="F32" s="138"/>
      <c r="G32" s="138" t="s">
        <v>194</v>
      </c>
      <c r="H32" s="138" t="s">
        <v>194</v>
      </c>
      <c r="I32" s="138"/>
      <c r="J32" s="138"/>
      <c r="K32" s="138"/>
    </row>
    <row r="33" spans="1:11" x14ac:dyDescent="0.25">
      <c r="A33" s="52" t="s">
        <v>82</v>
      </c>
      <c r="B33" s="138"/>
      <c r="C33" s="138"/>
      <c r="D33" s="138"/>
      <c r="E33" s="138"/>
      <c r="F33" s="138"/>
      <c r="G33" s="138" t="s">
        <v>194</v>
      </c>
      <c r="H33" s="138" t="s">
        <v>194</v>
      </c>
      <c r="I33" s="138"/>
      <c r="J33" s="138"/>
      <c r="K33" s="138"/>
    </row>
    <row r="34" spans="1:11" x14ac:dyDescent="0.25">
      <c r="A34" s="52" t="s">
        <v>81</v>
      </c>
      <c r="B34" s="138"/>
      <c r="C34" s="138"/>
      <c r="D34" s="138"/>
      <c r="E34" s="138"/>
      <c r="F34" s="138"/>
      <c r="G34" s="138" t="s">
        <v>194</v>
      </c>
      <c r="H34" s="138" t="s">
        <v>194</v>
      </c>
      <c r="I34" s="138"/>
      <c r="J34" s="138"/>
      <c r="K34" s="138"/>
    </row>
    <row r="35" spans="1:11" x14ac:dyDescent="0.25">
      <c r="A35" s="52" t="s">
        <v>79</v>
      </c>
      <c r="B35" s="138"/>
      <c r="C35" s="138"/>
      <c r="D35" s="138"/>
      <c r="E35" s="138"/>
      <c r="F35" s="138"/>
      <c r="G35" s="138" t="s">
        <v>194</v>
      </c>
      <c r="H35" s="138" t="s">
        <v>194</v>
      </c>
      <c r="I35" s="138"/>
      <c r="J35" s="138"/>
      <c r="K35" s="138"/>
    </row>
    <row r="36" spans="1:11" x14ac:dyDescent="0.25">
      <c r="A36" s="52" t="s">
        <v>80</v>
      </c>
      <c r="B36" s="138"/>
      <c r="C36" s="138"/>
      <c r="D36" s="138"/>
      <c r="E36" s="138"/>
      <c r="F36" s="138"/>
      <c r="G36" s="138" t="s">
        <v>194</v>
      </c>
      <c r="H36" s="138" t="s">
        <v>194</v>
      </c>
      <c r="I36" s="138"/>
      <c r="J36" s="138"/>
      <c r="K36" s="138"/>
    </row>
    <row r="37" spans="1:11" x14ac:dyDescent="0.25">
      <c r="A37" s="52" t="s">
        <v>85</v>
      </c>
      <c r="B37" s="138"/>
      <c r="C37" s="138"/>
      <c r="D37" s="138"/>
      <c r="E37" s="138"/>
      <c r="F37" s="138"/>
      <c r="G37" s="138"/>
      <c r="H37" s="138" t="s">
        <v>194</v>
      </c>
      <c r="I37" s="138"/>
      <c r="J37" s="138"/>
      <c r="K37" s="138"/>
    </row>
    <row r="38" spans="1:11" x14ac:dyDescent="0.25">
      <c r="A38" s="52" t="s">
        <v>60</v>
      </c>
      <c r="B38" s="138" t="s">
        <v>194</v>
      </c>
      <c r="C38" s="138"/>
      <c r="D38" s="138"/>
      <c r="E38" s="138"/>
      <c r="F38" s="138"/>
      <c r="G38" s="138" t="s">
        <v>194</v>
      </c>
      <c r="H38" s="138" t="s">
        <v>194</v>
      </c>
      <c r="I38" s="138"/>
      <c r="J38" s="138"/>
      <c r="K38" s="138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265625" defaultRowHeight="12.5" x14ac:dyDescent="0.25"/>
  <cols>
    <col min="1" max="1" width="16.81640625" style="35" bestFit="1" customWidth="1"/>
    <col min="2" max="2" width="8.7265625" style="35" bestFit="1" customWidth="1"/>
    <col min="3" max="3" width="8.81640625" style="35" bestFit="1" customWidth="1"/>
    <col min="4" max="4" width="18.26953125" style="35" bestFit="1" customWidth="1"/>
    <col min="5" max="5" width="17.453125" style="35" bestFit="1" customWidth="1"/>
    <col min="6" max="6" width="13.54296875" style="35" bestFit="1" customWidth="1"/>
    <col min="7" max="7" width="9.7265625" style="35" bestFit="1" customWidth="1"/>
    <col min="8" max="8" width="8.81640625" style="35" bestFit="1" customWidth="1"/>
    <col min="9" max="9" width="14.7265625" style="35" bestFit="1" customWidth="1"/>
    <col min="10" max="10" width="15.26953125" style="35" bestFit="1" customWidth="1"/>
    <col min="11" max="16384" width="12.7265625" style="35"/>
  </cols>
  <sheetData>
    <row r="1" spans="1:11" ht="13" x14ac:dyDescent="0.3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8" t="s">
        <v>194</v>
      </c>
      <c r="C2" s="138" t="s">
        <v>194</v>
      </c>
      <c r="D2" s="138" t="s">
        <v>194</v>
      </c>
      <c r="E2" s="138" t="s">
        <v>194</v>
      </c>
      <c r="F2" s="138" t="s">
        <v>194</v>
      </c>
      <c r="G2" s="138" t="s">
        <v>194</v>
      </c>
      <c r="H2" s="138" t="s">
        <v>194</v>
      </c>
      <c r="I2" s="138"/>
      <c r="J2" s="138"/>
      <c r="K2" s="138"/>
    </row>
    <row r="3" spans="1:11" x14ac:dyDescent="0.25">
      <c r="A3" s="35" t="s">
        <v>2</v>
      </c>
      <c r="B3" s="138" t="s">
        <v>194</v>
      </c>
      <c r="C3" s="138" t="s">
        <v>194</v>
      </c>
      <c r="D3" s="138" t="s">
        <v>194</v>
      </c>
      <c r="E3" s="138" t="s">
        <v>194</v>
      </c>
      <c r="F3" s="138" t="s">
        <v>194</v>
      </c>
      <c r="G3" s="138" t="s">
        <v>194</v>
      </c>
      <c r="H3" s="138" t="s">
        <v>194</v>
      </c>
      <c r="I3" s="138"/>
      <c r="J3" s="138"/>
      <c r="K3" s="138"/>
    </row>
    <row r="4" spans="1:11" x14ac:dyDescent="0.25">
      <c r="A4" s="35" t="s">
        <v>3</v>
      </c>
      <c r="B4" s="138" t="s">
        <v>194</v>
      </c>
      <c r="C4" s="138" t="s">
        <v>194</v>
      </c>
      <c r="D4" s="138" t="s">
        <v>194</v>
      </c>
      <c r="E4" s="138" t="s">
        <v>194</v>
      </c>
      <c r="F4" s="138" t="s">
        <v>194</v>
      </c>
      <c r="G4" s="138" t="s">
        <v>194</v>
      </c>
      <c r="H4" s="138" t="s">
        <v>194</v>
      </c>
      <c r="I4" s="138"/>
      <c r="J4" s="138"/>
      <c r="K4" s="138"/>
    </row>
    <row r="5" spans="1:11" x14ac:dyDescent="0.25">
      <c r="A5" s="35" t="s">
        <v>4</v>
      </c>
      <c r="B5" s="138" t="s">
        <v>194</v>
      </c>
      <c r="C5" s="138" t="s">
        <v>194</v>
      </c>
      <c r="D5" s="138" t="s">
        <v>194</v>
      </c>
      <c r="E5" s="138" t="s">
        <v>194</v>
      </c>
      <c r="F5" s="138" t="s">
        <v>194</v>
      </c>
      <c r="G5" s="138" t="s">
        <v>194</v>
      </c>
      <c r="H5" s="138" t="s">
        <v>194</v>
      </c>
      <c r="I5" s="138"/>
      <c r="J5" s="138"/>
      <c r="K5" s="138"/>
    </row>
    <row r="6" spans="1:11" x14ac:dyDescent="0.25">
      <c r="A6" s="35" t="s">
        <v>5</v>
      </c>
      <c r="B6" s="138" t="s">
        <v>194</v>
      </c>
      <c r="C6" s="138" t="s">
        <v>194</v>
      </c>
      <c r="D6" s="138" t="s">
        <v>194</v>
      </c>
      <c r="E6" s="138" t="s">
        <v>194</v>
      </c>
      <c r="F6" s="138" t="s">
        <v>194</v>
      </c>
      <c r="G6" s="138" t="s">
        <v>194</v>
      </c>
      <c r="H6" s="138" t="s">
        <v>194</v>
      </c>
      <c r="I6" s="138"/>
      <c r="J6" s="138"/>
      <c r="K6" s="138"/>
    </row>
    <row r="7" spans="1:11" x14ac:dyDescent="0.25">
      <c r="A7" s="35" t="s">
        <v>53</v>
      </c>
      <c r="B7" s="138"/>
      <c r="C7" s="138" t="s">
        <v>194</v>
      </c>
      <c r="D7" s="138"/>
      <c r="E7" s="138"/>
      <c r="F7" s="138"/>
      <c r="G7" s="138"/>
      <c r="H7" s="138" t="s">
        <v>194</v>
      </c>
      <c r="I7" s="138" t="s">
        <v>194</v>
      </c>
      <c r="J7" s="138"/>
      <c r="K7" s="138"/>
    </row>
    <row r="8" spans="1:11" x14ac:dyDescent="0.25">
      <c r="A8" s="35" t="s">
        <v>54</v>
      </c>
      <c r="B8" s="138"/>
      <c r="C8" s="138" t="s">
        <v>194</v>
      </c>
      <c r="D8" s="138"/>
      <c r="E8" s="138"/>
      <c r="F8" s="138"/>
      <c r="G8" s="138"/>
      <c r="H8" s="138" t="s">
        <v>194</v>
      </c>
      <c r="I8" s="138" t="s">
        <v>194</v>
      </c>
      <c r="J8" s="138"/>
      <c r="K8" s="138"/>
    </row>
    <row r="9" spans="1:11" x14ac:dyDescent="0.25">
      <c r="A9" s="35" t="s">
        <v>55</v>
      </c>
      <c r="B9" s="138"/>
      <c r="C9" s="138" t="s">
        <v>194</v>
      </c>
      <c r="D9" s="138"/>
      <c r="E9" s="138"/>
      <c r="F9" s="138"/>
      <c r="G9" s="138"/>
      <c r="H9" s="138" t="s">
        <v>194</v>
      </c>
      <c r="I9" s="138" t="s">
        <v>194</v>
      </c>
      <c r="J9" s="138"/>
      <c r="K9" s="138"/>
    </row>
    <row r="10" spans="1:11" x14ac:dyDescent="0.25">
      <c r="A10" s="35" t="s">
        <v>56</v>
      </c>
      <c r="B10" s="138"/>
      <c r="C10" s="138" t="s">
        <v>194</v>
      </c>
      <c r="D10" s="138"/>
      <c r="E10" s="138"/>
      <c r="F10" s="138"/>
      <c r="G10" s="138"/>
      <c r="H10" s="138" t="s">
        <v>194</v>
      </c>
      <c r="I10" s="138" t="s">
        <v>194</v>
      </c>
      <c r="J10" s="138"/>
      <c r="K10" s="138"/>
    </row>
    <row r="11" spans="1:11" x14ac:dyDescent="0.25">
      <c r="A11" s="35" t="s">
        <v>49</v>
      </c>
      <c r="B11" s="138"/>
      <c r="C11" s="138" t="s">
        <v>194</v>
      </c>
      <c r="D11" s="138"/>
      <c r="E11" s="138"/>
      <c r="F11" s="138"/>
      <c r="G11" s="138"/>
      <c r="H11" s="138"/>
      <c r="I11" s="138"/>
      <c r="J11" s="138" t="s">
        <v>194</v>
      </c>
      <c r="K11" s="138" t="s">
        <v>194</v>
      </c>
    </row>
    <row r="12" spans="1:11" x14ac:dyDescent="0.25">
      <c r="A12" s="35" t="s">
        <v>50</v>
      </c>
      <c r="B12" s="138"/>
      <c r="C12" s="138" t="s">
        <v>194</v>
      </c>
      <c r="D12" s="138"/>
      <c r="E12" s="138"/>
      <c r="F12" s="138"/>
      <c r="G12" s="138"/>
      <c r="H12" s="138"/>
      <c r="I12" s="138"/>
      <c r="J12" s="138"/>
      <c r="K12" s="138" t="s">
        <v>194</v>
      </c>
    </row>
    <row r="13" spans="1:11" x14ac:dyDescent="0.25">
      <c r="A13" s="35" t="s">
        <v>51</v>
      </c>
      <c r="B13" s="138"/>
      <c r="C13" s="138" t="s">
        <v>194</v>
      </c>
      <c r="D13" s="138"/>
      <c r="E13" s="138"/>
      <c r="F13" s="138"/>
      <c r="G13" s="138"/>
      <c r="H13" s="138"/>
      <c r="I13" s="138"/>
      <c r="J13" s="138"/>
      <c r="K13" s="138" t="s">
        <v>194</v>
      </c>
    </row>
    <row r="14" spans="1:11" x14ac:dyDescent="0.25">
      <c r="A14" s="35" t="s">
        <v>52</v>
      </c>
      <c r="B14" s="138"/>
      <c r="C14" s="138" t="s">
        <v>194</v>
      </c>
      <c r="D14" s="138"/>
      <c r="E14" s="138"/>
      <c r="F14" s="138"/>
      <c r="G14" s="138"/>
      <c r="H14" s="138"/>
      <c r="I14" s="138"/>
      <c r="J14" s="138"/>
      <c r="K14" s="138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zoomScale="85" zoomScaleNormal="85" workbookViewId="0">
      <selection activeCell="G15" sqref="G15"/>
    </sheetView>
  </sheetViews>
  <sheetFormatPr defaultColWidth="12.7265625" defaultRowHeight="12.5" x14ac:dyDescent="0.25"/>
  <cols>
    <col min="1" max="1" width="48.1796875" style="35" customWidth="1"/>
    <col min="2" max="2" width="15" style="35" customWidth="1"/>
    <col min="3" max="3" width="14.7265625" style="35" customWidth="1"/>
    <col min="4" max="16384" width="12.7265625" style="35"/>
  </cols>
  <sheetData>
    <row r="1" spans="1:10" ht="13" x14ac:dyDescent="0.3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9" t="s">
        <v>5</v>
      </c>
    </row>
    <row r="2" spans="1:10" ht="13" x14ac:dyDescent="0.3">
      <c r="A2" s="40" t="s">
        <v>220</v>
      </c>
      <c r="B2" s="146" t="s">
        <v>32</v>
      </c>
      <c r="C2" s="35" t="s">
        <v>176</v>
      </c>
      <c r="D2" s="139">
        <v>1</v>
      </c>
      <c r="E2" s="139">
        <v>1</v>
      </c>
      <c r="F2" s="139">
        <v>1</v>
      </c>
      <c r="G2" s="139">
        <v>1</v>
      </c>
      <c r="H2" s="139">
        <v>1</v>
      </c>
    </row>
    <row r="3" spans="1:10" x14ac:dyDescent="0.25">
      <c r="B3" s="146"/>
      <c r="C3" s="35" t="s">
        <v>175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J3" s="100"/>
    </row>
    <row r="4" spans="1:10" x14ac:dyDescent="0.25">
      <c r="B4" s="146"/>
      <c r="C4" s="35" t="s">
        <v>174</v>
      </c>
      <c r="D4" s="139">
        <v>1</v>
      </c>
      <c r="E4" s="139">
        <v>1</v>
      </c>
      <c r="F4" s="139">
        <v>1</v>
      </c>
      <c r="G4" s="139">
        <v>1</v>
      </c>
      <c r="H4" s="139">
        <v>1</v>
      </c>
      <c r="J4" s="100"/>
    </row>
    <row r="5" spans="1:10" x14ac:dyDescent="0.25">
      <c r="B5" s="146" t="s">
        <v>1</v>
      </c>
      <c r="C5" s="35" t="s">
        <v>176</v>
      </c>
      <c r="D5" s="139">
        <f>5.16</f>
        <v>5.16</v>
      </c>
      <c r="E5" s="139">
        <v>1</v>
      </c>
      <c r="F5" s="139">
        <v>1</v>
      </c>
      <c r="G5" s="139">
        <v>1</v>
      </c>
      <c r="H5" s="139">
        <v>1</v>
      </c>
    </row>
    <row r="6" spans="1:10" x14ac:dyDescent="0.25">
      <c r="B6" s="146"/>
      <c r="C6" s="35" t="s">
        <v>175</v>
      </c>
      <c r="D6" s="139">
        <v>5.16</v>
      </c>
      <c r="E6" s="139">
        <v>1</v>
      </c>
      <c r="F6" s="139">
        <v>1</v>
      </c>
      <c r="G6" s="139">
        <v>1</v>
      </c>
      <c r="H6" s="139">
        <v>1</v>
      </c>
    </row>
    <row r="7" spans="1:10" x14ac:dyDescent="0.25">
      <c r="B7" s="146"/>
      <c r="C7" s="35" t="s">
        <v>174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</row>
    <row r="8" spans="1:10" x14ac:dyDescent="0.25">
      <c r="B8" s="146" t="s">
        <v>2</v>
      </c>
      <c r="C8" s="35" t="s">
        <v>176</v>
      </c>
      <c r="D8" s="139">
        <v>1</v>
      </c>
      <c r="E8" s="139">
        <v>5.16</v>
      </c>
      <c r="F8" s="139">
        <v>1</v>
      </c>
      <c r="G8" s="139">
        <v>1</v>
      </c>
      <c r="H8" s="139">
        <v>1</v>
      </c>
    </row>
    <row r="9" spans="1:10" x14ac:dyDescent="0.25">
      <c r="B9" s="146"/>
      <c r="C9" s="35" t="s">
        <v>175</v>
      </c>
      <c r="D9" s="139">
        <v>1</v>
      </c>
      <c r="E9" s="139">
        <v>5.16</v>
      </c>
      <c r="F9" s="139">
        <v>1</v>
      </c>
      <c r="G9" s="139">
        <v>1</v>
      </c>
      <c r="H9" s="139">
        <v>1</v>
      </c>
    </row>
    <row r="10" spans="1:10" x14ac:dyDescent="0.25">
      <c r="B10" s="146"/>
      <c r="C10" s="35" t="s">
        <v>174</v>
      </c>
      <c r="D10" s="139">
        <v>1</v>
      </c>
      <c r="E10" s="139">
        <v>1</v>
      </c>
      <c r="F10" s="139">
        <v>1</v>
      </c>
      <c r="G10" s="139">
        <v>1</v>
      </c>
      <c r="H10" s="139">
        <v>1</v>
      </c>
    </row>
    <row r="11" spans="1:10" x14ac:dyDescent="0.25">
      <c r="B11" s="146" t="s">
        <v>3</v>
      </c>
      <c r="C11" s="35" t="s">
        <v>176</v>
      </c>
      <c r="D11" s="139">
        <v>1</v>
      </c>
      <c r="E11" s="139">
        <v>1</v>
      </c>
      <c r="F11" s="139">
        <v>1.82</v>
      </c>
      <c r="G11" s="139">
        <v>1</v>
      </c>
      <c r="H11" s="139">
        <v>1</v>
      </c>
    </row>
    <row r="12" spans="1:10" x14ac:dyDescent="0.25">
      <c r="B12" s="146"/>
      <c r="C12" s="35" t="s">
        <v>175</v>
      </c>
      <c r="D12" s="139">
        <v>1</v>
      </c>
      <c r="E12" s="139">
        <v>1</v>
      </c>
      <c r="F12" s="139">
        <v>1.82</v>
      </c>
      <c r="G12" s="139">
        <v>1</v>
      </c>
      <c r="H12" s="139">
        <v>1</v>
      </c>
    </row>
    <row r="13" spans="1:10" x14ac:dyDescent="0.25">
      <c r="B13" s="146"/>
      <c r="C13" s="35" t="s">
        <v>174</v>
      </c>
      <c r="D13" s="139">
        <v>1</v>
      </c>
      <c r="E13" s="139">
        <v>1</v>
      </c>
      <c r="F13" s="139">
        <v>1</v>
      </c>
      <c r="G13" s="139">
        <v>1</v>
      </c>
      <c r="H13" s="139">
        <v>1</v>
      </c>
    </row>
    <row r="14" spans="1:10" x14ac:dyDescent="0.25">
      <c r="B14" s="146" t="s">
        <v>4</v>
      </c>
      <c r="C14" s="35" t="s">
        <v>176</v>
      </c>
      <c r="D14" s="139">
        <v>1</v>
      </c>
      <c r="E14" s="139">
        <v>1</v>
      </c>
      <c r="F14" s="139">
        <v>1</v>
      </c>
      <c r="G14" s="139">
        <v>1.82</v>
      </c>
      <c r="H14" s="139">
        <v>1</v>
      </c>
    </row>
    <row r="15" spans="1:10" x14ac:dyDescent="0.25">
      <c r="B15" s="146"/>
      <c r="C15" s="35" t="s">
        <v>175</v>
      </c>
      <c r="D15" s="139">
        <v>1</v>
      </c>
      <c r="E15" s="139">
        <v>1</v>
      </c>
      <c r="F15" s="139">
        <v>1</v>
      </c>
      <c r="G15" s="139">
        <v>1.82</v>
      </c>
      <c r="H15" s="139">
        <v>1</v>
      </c>
    </row>
    <row r="16" spans="1:10" x14ac:dyDescent="0.25">
      <c r="B16" s="146"/>
      <c r="C16" s="35" t="s">
        <v>174</v>
      </c>
      <c r="D16" s="139">
        <v>1</v>
      </c>
      <c r="E16" s="139">
        <v>1</v>
      </c>
      <c r="F16" s="139">
        <v>1</v>
      </c>
      <c r="G16" s="139">
        <v>1</v>
      </c>
      <c r="H16" s="139">
        <v>1</v>
      </c>
    </row>
    <row r="17" spans="1:8" ht="13" x14ac:dyDescent="0.25">
      <c r="B17" s="101" t="s">
        <v>172</v>
      </c>
      <c r="C17" s="35" t="s">
        <v>174</v>
      </c>
      <c r="D17" s="139">
        <v>1.05</v>
      </c>
      <c r="E17" s="139">
        <v>1.05</v>
      </c>
      <c r="F17" s="139">
        <v>1.05</v>
      </c>
      <c r="G17" s="139">
        <v>1.05</v>
      </c>
      <c r="H17" s="139">
        <v>1</v>
      </c>
    </row>
    <row r="18" spans="1:8" x14ac:dyDescent="0.25">
      <c r="D18" s="137"/>
      <c r="E18" s="137"/>
      <c r="F18" s="137"/>
      <c r="G18" s="137"/>
      <c r="H18" s="137"/>
    </row>
    <row r="19" spans="1:8" ht="13" x14ac:dyDescent="0.3">
      <c r="A19" s="40" t="s">
        <v>221</v>
      </c>
      <c r="B19" s="146" t="s">
        <v>32</v>
      </c>
      <c r="C19" s="35" t="s">
        <v>176</v>
      </c>
      <c r="D19" s="139">
        <v>1</v>
      </c>
      <c r="E19" s="139">
        <v>1</v>
      </c>
      <c r="F19" s="139">
        <v>0.98</v>
      </c>
      <c r="G19" s="139">
        <v>0.98</v>
      </c>
      <c r="H19" s="139">
        <v>1</v>
      </c>
    </row>
    <row r="20" spans="1:8" x14ac:dyDescent="0.25">
      <c r="B20" s="146"/>
      <c r="C20" s="35" t="s">
        <v>175</v>
      </c>
      <c r="D20" s="139">
        <v>1</v>
      </c>
      <c r="E20" s="139">
        <v>1</v>
      </c>
      <c r="F20" s="139">
        <v>0.98</v>
      </c>
      <c r="G20" s="139">
        <v>0.98</v>
      </c>
      <c r="H20" s="139">
        <v>1</v>
      </c>
    </row>
    <row r="21" spans="1:8" x14ac:dyDescent="0.25">
      <c r="B21" s="146"/>
      <c r="C21" s="35" t="s">
        <v>174</v>
      </c>
      <c r="D21" s="139">
        <v>1</v>
      </c>
      <c r="E21" s="139">
        <v>1</v>
      </c>
      <c r="F21" s="139">
        <v>0.99</v>
      </c>
      <c r="G21" s="139">
        <v>0.99</v>
      </c>
      <c r="H21" s="139">
        <v>1</v>
      </c>
    </row>
    <row r="22" spans="1:8" x14ac:dyDescent="0.25">
      <c r="B22" s="146" t="s">
        <v>1</v>
      </c>
      <c r="C22" s="35" t="s">
        <v>176</v>
      </c>
      <c r="D22" s="139">
        <v>1</v>
      </c>
      <c r="E22" s="139">
        <v>1</v>
      </c>
      <c r="F22" s="139">
        <v>1</v>
      </c>
      <c r="G22" s="139">
        <v>1</v>
      </c>
      <c r="H22" s="139">
        <v>1</v>
      </c>
    </row>
    <row r="23" spans="1:8" x14ac:dyDescent="0.25">
      <c r="B23" s="146"/>
      <c r="C23" s="35" t="s">
        <v>175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</row>
    <row r="24" spans="1:8" x14ac:dyDescent="0.25">
      <c r="B24" s="146"/>
      <c r="C24" s="35" t="s">
        <v>174</v>
      </c>
      <c r="D24" s="139">
        <v>1</v>
      </c>
      <c r="E24" s="139">
        <v>1</v>
      </c>
      <c r="F24" s="139">
        <v>0.99</v>
      </c>
      <c r="G24" s="139">
        <v>0.99</v>
      </c>
      <c r="H24" s="139">
        <v>1</v>
      </c>
    </row>
    <row r="25" spans="1:8" x14ac:dyDescent="0.25">
      <c r="B25" s="146" t="s">
        <v>2</v>
      </c>
      <c r="C25" s="35" t="s">
        <v>176</v>
      </c>
      <c r="D25" s="139">
        <v>1</v>
      </c>
      <c r="E25" s="139">
        <v>1</v>
      </c>
      <c r="F25" s="139">
        <v>1</v>
      </c>
      <c r="G25" s="139">
        <v>1</v>
      </c>
      <c r="H25" s="139">
        <v>1</v>
      </c>
    </row>
    <row r="26" spans="1:8" x14ac:dyDescent="0.25">
      <c r="B26" s="146"/>
      <c r="C26" s="35" t="s">
        <v>175</v>
      </c>
      <c r="D26" s="139">
        <v>1</v>
      </c>
      <c r="E26" s="139">
        <v>1</v>
      </c>
      <c r="F26" s="139">
        <v>1</v>
      </c>
      <c r="G26" s="139">
        <v>1</v>
      </c>
      <c r="H26" s="139">
        <v>1</v>
      </c>
    </row>
    <row r="27" spans="1:8" x14ac:dyDescent="0.25">
      <c r="B27" s="146"/>
      <c r="C27" s="35" t="s">
        <v>174</v>
      </c>
      <c r="D27" s="139">
        <v>1</v>
      </c>
      <c r="E27" s="139">
        <v>1</v>
      </c>
      <c r="F27" s="139">
        <v>0.99</v>
      </c>
      <c r="G27" s="139">
        <v>0.99</v>
      </c>
      <c r="H27" s="139">
        <v>1</v>
      </c>
    </row>
    <row r="28" spans="1:8" x14ac:dyDescent="0.25">
      <c r="B28" s="146" t="s">
        <v>3</v>
      </c>
      <c r="C28" s="35" t="s">
        <v>176</v>
      </c>
      <c r="D28" s="139">
        <v>1</v>
      </c>
      <c r="E28" s="139">
        <v>1</v>
      </c>
      <c r="F28" s="139">
        <v>0.78</v>
      </c>
      <c r="G28" s="139">
        <v>1</v>
      </c>
      <c r="H28" s="139">
        <v>1</v>
      </c>
    </row>
    <row r="29" spans="1:8" x14ac:dyDescent="0.25">
      <c r="B29" s="146"/>
      <c r="C29" s="35" t="s">
        <v>175</v>
      </c>
      <c r="D29" s="139">
        <v>1</v>
      </c>
      <c r="E29" s="139">
        <v>1</v>
      </c>
      <c r="F29" s="139">
        <v>0.78</v>
      </c>
      <c r="G29" s="139">
        <v>1</v>
      </c>
      <c r="H29" s="139">
        <v>1</v>
      </c>
    </row>
    <row r="30" spans="1:8" x14ac:dyDescent="0.25">
      <c r="B30" s="146"/>
      <c r="C30" s="35" t="s">
        <v>174</v>
      </c>
      <c r="D30" s="139">
        <v>1</v>
      </c>
      <c r="E30" s="139">
        <v>1</v>
      </c>
      <c r="F30" s="139">
        <v>0.99</v>
      </c>
      <c r="G30" s="139">
        <v>0.99</v>
      </c>
      <c r="H30" s="139">
        <v>1</v>
      </c>
    </row>
    <row r="31" spans="1:8" x14ac:dyDescent="0.25">
      <c r="B31" s="146" t="s">
        <v>4</v>
      </c>
      <c r="C31" s="35" t="s">
        <v>176</v>
      </c>
      <c r="D31" s="139">
        <v>1</v>
      </c>
      <c r="E31" s="139">
        <v>1</v>
      </c>
      <c r="F31" s="139">
        <v>1</v>
      </c>
      <c r="G31" s="139">
        <v>0.78</v>
      </c>
      <c r="H31" s="139">
        <v>1</v>
      </c>
    </row>
    <row r="32" spans="1:8" x14ac:dyDescent="0.25">
      <c r="B32" s="146"/>
      <c r="C32" s="35" t="s">
        <v>175</v>
      </c>
      <c r="D32" s="139">
        <v>1</v>
      </c>
      <c r="E32" s="139">
        <v>1</v>
      </c>
      <c r="F32" s="139">
        <v>1</v>
      </c>
      <c r="G32" s="139">
        <v>0.78</v>
      </c>
      <c r="H32" s="139">
        <v>1</v>
      </c>
    </row>
    <row r="33" spans="1:8" x14ac:dyDescent="0.25">
      <c r="B33" s="146"/>
      <c r="C33" s="35" t="s">
        <v>174</v>
      </c>
      <c r="D33" s="139">
        <v>1</v>
      </c>
      <c r="E33" s="139">
        <v>1</v>
      </c>
      <c r="F33" s="139">
        <v>1</v>
      </c>
      <c r="G33" s="139">
        <v>0.99</v>
      </c>
      <c r="H33" s="139">
        <v>1</v>
      </c>
    </row>
    <row r="34" spans="1:8" ht="13" x14ac:dyDescent="0.25">
      <c r="B34" s="101" t="s">
        <v>172</v>
      </c>
      <c r="C34" s="35" t="s">
        <v>174</v>
      </c>
      <c r="D34" s="139">
        <v>1</v>
      </c>
      <c r="E34" s="139">
        <v>1</v>
      </c>
      <c r="F34" s="139">
        <v>0.95</v>
      </c>
      <c r="G34" s="139">
        <v>0.95</v>
      </c>
      <c r="H34" s="139">
        <v>1</v>
      </c>
    </row>
    <row r="35" spans="1:8" x14ac:dyDescent="0.25">
      <c r="D35" s="137"/>
      <c r="E35" s="137"/>
      <c r="F35" s="137"/>
      <c r="G35" s="137"/>
      <c r="H35" s="137"/>
    </row>
    <row r="36" spans="1:8" ht="13" x14ac:dyDescent="0.3">
      <c r="A36" s="102" t="s">
        <v>222</v>
      </c>
      <c r="B36" s="146" t="s">
        <v>32</v>
      </c>
      <c r="C36" s="35" t="s">
        <v>176</v>
      </c>
      <c r="D36" s="139">
        <v>1</v>
      </c>
      <c r="E36" s="139">
        <v>1</v>
      </c>
      <c r="F36" s="139">
        <v>1</v>
      </c>
      <c r="G36" s="139">
        <v>1</v>
      </c>
      <c r="H36" s="139">
        <v>1</v>
      </c>
    </row>
    <row r="37" spans="1:8" x14ac:dyDescent="0.25">
      <c r="B37" s="146"/>
      <c r="C37" s="35" t="s">
        <v>175</v>
      </c>
      <c r="D37" s="139">
        <v>1</v>
      </c>
      <c r="E37" s="139">
        <v>1</v>
      </c>
      <c r="F37" s="139">
        <v>1</v>
      </c>
      <c r="G37" s="139">
        <v>1</v>
      </c>
      <c r="H37" s="139">
        <v>1</v>
      </c>
    </row>
    <row r="38" spans="1:8" x14ac:dyDescent="0.25">
      <c r="B38" s="146"/>
      <c r="C38" s="35" t="s">
        <v>174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</row>
    <row r="39" spans="1:8" x14ac:dyDescent="0.25">
      <c r="B39" s="146" t="s">
        <v>1</v>
      </c>
      <c r="C39" s="35" t="s">
        <v>176</v>
      </c>
      <c r="D39" s="139">
        <v>1</v>
      </c>
      <c r="E39" s="139">
        <v>1</v>
      </c>
      <c r="F39" s="139">
        <v>1</v>
      </c>
      <c r="G39" s="139">
        <v>1</v>
      </c>
      <c r="H39" s="139">
        <v>1</v>
      </c>
    </row>
    <row r="40" spans="1:8" x14ac:dyDescent="0.25">
      <c r="B40" s="146"/>
      <c r="C40" s="35" t="s">
        <v>175</v>
      </c>
      <c r="D40" s="139">
        <v>1</v>
      </c>
      <c r="E40" s="139">
        <v>1</v>
      </c>
      <c r="F40" s="139">
        <v>1</v>
      </c>
      <c r="G40" s="139">
        <v>1</v>
      </c>
      <c r="H40" s="139">
        <v>1</v>
      </c>
    </row>
    <row r="41" spans="1:8" x14ac:dyDescent="0.25">
      <c r="B41" s="146"/>
      <c r="C41" s="35" t="s">
        <v>174</v>
      </c>
      <c r="D41" s="139">
        <v>1</v>
      </c>
      <c r="E41" s="139">
        <v>1</v>
      </c>
      <c r="F41" s="139">
        <v>1</v>
      </c>
      <c r="G41" s="139">
        <v>1</v>
      </c>
      <c r="H41" s="139">
        <v>1</v>
      </c>
    </row>
    <row r="42" spans="1:8" x14ac:dyDescent="0.25">
      <c r="B42" s="146" t="s">
        <v>2</v>
      </c>
      <c r="C42" s="35" t="s">
        <v>176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</row>
    <row r="43" spans="1:8" x14ac:dyDescent="0.25">
      <c r="B43" s="146"/>
      <c r="C43" s="35" t="s">
        <v>175</v>
      </c>
      <c r="D43" s="139">
        <v>1</v>
      </c>
      <c r="E43" s="139">
        <v>1</v>
      </c>
      <c r="F43" s="139">
        <v>1</v>
      </c>
      <c r="G43" s="139">
        <v>1</v>
      </c>
      <c r="H43" s="139">
        <v>1</v>
      </c>
    </row>
    <row r="44" spans="1:8" x14ac:dyDescent="0.25">
      <c r="B44" s="146"/>
      <c r="C44" s="35" t="s">
        <v>174</v>
      </c>
      <c r="D44" s="139">
        <v>1</v>
      </c>
      <c r="E44" s="139">
        <v>1</v>
      </c>
      <c r="F44" s="139">
        <v>1</v>
      </c>
      <c r="G44" s="139">
        <v>1</v>
      </c>
      <c r="H44" s="139">
        <v>1</v>
      </c>
    </row>
    <row r="45" spans="1:8" x14ac:dyDescent="0.25">
      <c r="B45" s="146" t="s">
        <v>3</v>
      </c>
      <c r="C45" s="35" t="s">
        <v>176</v>
      </c>
      <c r="D45" s="139">
        <v>1</v>
      </c>
      <c r="E45" s="139">
        <v>1</v>
      </c>
      <c r="F45" s="139">
        <v>1.82</v>
      </c>
      <c r="G45" s="139">
        <v>1</v>
      </c>
      <c r="H45" s="139">
        <v>1</v>
      </c>
    </row>
    <row r="46" spans="1:8" x14ac:dyDescent="0.25">
      <c r="B46" s="146"/>
      <c r="C46" s="35" t="s">
        <v>175</v>
      </c>
      <c r="D46" s="139">
        <v>1</v>
      </c>
      <c r="E46" s="139">
        <v>1</v>
      </c>
      <c r="F46" s="139">
        <v>1.82</v>
      </c>
      <c r="G46" s="139">
        <v>1</v>
      </c>
      <c r="H46" s="139">
        <v>1</v>
      </c>
    </row>
    <row r="47" spans="1:8" x14ac:dyDescent="0.25">
      <c r="B47" s="146"/>
      <c r="C47" s="35" t="s">
        <v>174</v>
      </c>
      <c r="D47" s="139">
        <v>1</v>
      </c>
      <c r="E47" s="139">
        <v>1</v>
      </c>
      <c r="F47" s="139">
        <v>1</v>
      </c>
      <c r="G47" s="139">
        <v>1</v>
      </c>
      <c r="H47" s="139">
        <v>1</v>
      </c>
    </row>
    <row r="48" spans="1:8" x14ac:dyDescent="0.25">
      <c r="B48" s="146" t="s">
        <v>4</v>
      </c>
      <c r="C48" s="35" t="s">
        <v>176</v>
      </c>
      <c r="D48" s="139">
        <v>1</v>
      </c>
      <c r="E48" s="139">
        <v>1</v>
      </c>
      <c r="F48" s="139">
        <v>1</v>
      </c>
      <c r="G48" s="139">
        <v>1.82</v>
      </c>
      <c r="H48" s="139">
        <v>1</v>
      </c>
    </row>
    <row r="49" spans="2:8" x14ac:dyDescent="0.25">
      <c r="B49" s="146"/>
      <c r="C49" s="35" t="s">
        <v>175</v>
      </c>
      <c r="D49" s="139">
        <v>1</v>
      </c>
      <c r="E49" s="139">
        <v>1</v>
      </c>
      <c r="F49" s="139">
        <v>1</v>
      </c>
      <c r="G49" s="139">
        <v>1.82</v>
      </c>
      <c r="H49" s="139">
        <v>1</v>
      </c>
    </row>
    <row r="50" spans="2:8" x14ac:dyDescent="0.25">
      <c r="B50" s="146"/>
      <c r="C50" s="35" t="s">
        <v>174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</row>
    <row r="51" spans="2:8" ht="13" x14ac:dyDescent="0.25">
      <c r="B51" s="103" t="s">
        <v>172</v>
      </c>
      <c r="C51" s="35" t="s">
        <v>174</v>
      </c>
      <c r="D51" s="139">
        <v>1.05</v>
      </c>
      <c r="E51" s="139">
        <v>1.05</v>
      </c>
      <c r="F51" s="139">
        <v>1.05</v>
      </c>
      <c r="G51" s="139">
        <v>1.05</v>
      </c>
      <c r="H51" s="139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1796875" defaultRowHeight="15.75" customHeight="1" x14ac:dyDescent="0.25"/>
  <cols>
    <col min="1" max="1" width="23.81640625" style="35" customWidth="1"/>
    <col min="2" max="2" width="34.1796875" style="35" customWidth="1"/>
    <col min="3" max="3" width="11.26953125" style="35" bestFit="1" customWidth="1"/>
    <col min="4" max="4" width="11.81640625" style="35" customWidth="1"/>
    <col min="5" max="6" width="15" style="35" customWidth="1"/>
    <col min="7" max="16384" width="16.1796875" style="35"/>
  </cols>
  <sheetData>
    <row r="1" spans="1:7" s="105" customFormat="1" ht="18.75" customHeight="1" x14ac:dyDescent="0.3">
      <c r="A1" s="104" t="s">
        <v>223</v>
      </c>
    </row>
    <row r="2" spans="1:7" ht="15.75" customHeight="1" x14ac:dyDescent="0.3">
      <c r="B2" s="106"/>
      <c r="C2" s="107" t="s">
        <v>26</v>
      </c>
      <c r="D2" s="108" t="s">
        <v>12</v>
      </c>
      <c r="E2" s="108" t="s">
        <v>11</v>
      </c>
      <c r="F2" s="108" t="s">
        <v>9</v>
      </c>
    </row>
    <row r="3" spans="1:7" ht="15.75" customHeight="1" x14ac:dyDescent="0.3">
      <c r="A3" s="40" t="s">
        <v>224</v>
      </c>
      <c r="B3" s="109"/>
      <c r="C3" s="110"/>
      <c r="D3" s="111"/>
      <c r="E3" s="111"/>
      <c r="F3" s="111"/>
    </row>
    <row r="4" spans="1:7" ht="15.75" customHeight="1" x14ac:dyDescent="0.25">
      <c r="B4" s="112" t="s">
        <v>75</v>
      </c>
      <c r="C4" s="140">
        <v>1</v>
      </c>
      <c r="D4" s="141">
        <v>1</v>
      </c>
      <c r="E4" s="141">
        <v>1</v>
      </c>
      <c r="F4" s="141">
        <v>1</v>
      </c>
    </row>
    <row r="5" spans="1:7" ht="15.75" customHeight="1" x14ac:dyDescent="0.25">
      <c r="B5" s="112" t="s">
        <v>76</v>
      </c>
      <c r="C5" s="140">
        <v>1</v>
      </c>
      <c r="D5" s="141">
        <v>1.41</v>
      </c>
      <c r="E5" s="141">
        <v>1.49</v>
      </c>
      <c r="F5" s="141">
        <v>3.03</v>
      </c>
    </row>
    <row r="6" spans="1:7" ht="15.75" customHeight="1" x14ac:dyDescent="0.25">
      <c r="B6" s="112" t="s">
        <v>77</v>
      </c>
      <c r="C6" s="140">
        <v>1</v>
      </c>
      <c r="D6" s="141">
        <v>1.18</v>
      </c>
      <c r="E6" s="141">
        <v>1.1000000000000001</v>
      </c>
      <c r="F6" s="141">
        <v>1.77</v>
      </c>
    </row>
    <row r="7" spans="1:7" ht="15.75" customHeight="1" x14ac:dyDescent="0.25">
      <c r="B7" s="112" t="s">
        <v>78</v>
      </c>
      <c r="C7" s="140">
        <v>1</v>
      </c>
      <c r="D7" s="141">
        <v>1</v>
      </c>
      <c r="E7" s="141">
        <v>1</v>
      </c>
      <c r="F7" s="141">
        <v>1</v>
      </c>
    </row>
    <row r="8" spans="1:7" ht="15.75" customHeight="1" x14ac:dyDescent="0.25">
      <c r="C8" s="113"/>
      <c r="D8" s="100"/>
      <c r="E8" s="100"/>
      <c r="F8" s="100"/>
    </row>
    <row r="9" spans="1:7" ht="15.75" customHeight="1" x14ac:dyDescent="0.3">
      <c r="A9" s="40" t="s">
        <v>225</v>
      </c>
      <c r="C9" s="140">
        <v>1</v>
      </c>
      <c r="D9" s="141">
        <v>1.53</v>
      </c>
      <c r="E9" s="141">
        <v>1.32</v>
      </c>
      <c r="F9" s="141">
        <v>1.53</v>
      </c>
      <c r="G9" s="114"/>
    </row>
    <row r="10" spans="1:7" ht="15.75" customHeight="1" x14ac:dyDescent="0.25">
      <c r="C10" s="113"/>
      <c r="D10" s="100"/>
      <c r="E10" s="100"/>
      <c r="F10" s="100"/>
      <c r="G10" s="114"/>
    </row>
    <row r="11" spans="1:7" s="105" customFormat="1" ht="15" customHeight="1" x14ac:dyDescent="0.3">
      <c r="A11" s="104" t="s">
        <v>226</v>
      </c>
      <c r="C11" s="115"/>
      <c r="D11" s="116"/>
      <c r="E11" s="116"/>
      <c r="F11" s="116"/>
      <c r="G11" s="117"/>
    </row>
    <row r="12" spans="1:7" ht="15.75" customHeight="1" x14ac:dyDescent="0.3">
      <c r="A12" s="40" t="s">
        <v>227</v>
      </c>
      <c r="C12" s="113"/>
      <c r="D12" s="100"/>
      <c r="E12" s="100"/>
      <c r="F12" s="100"/>
      <c r="G12" s="114"/>
    </row>
    <row r="13" spans="1:7" ht="15.75" customHeight="1" x14ac:dyDescent="0.25">
      <c r="B13" s="118" t="s">
        <v>228</v>
      </c>
      <c r="C13" s="140">
        <v>1</v>
      </c>
      <c r="D13" s="141">
        <v>5</v>
      </c>
      <c r="E13" s="141">
        <v>6.4</v>
      </c>
      <c r="F13" s="141">
        <v>46.5</v>
      </c>
      <c r="G13" s="114"/>
    </row>
    <row r="14" spans="1:7" ht="15.75" customHeight="1" x14ac:dyDescent="0.25">
      <c r="B14" s="118" t="s">
        <v>229</v>
      </c>
      <c r="C14" s="140">
        <v>1</v>
      </c>
      <c r="D14" s="141">
        <v>2.52</v>
      </c>
      <c r="E14" s="141">
        <v>1.96</v>
      </c>
      <c r="F14" s="141">
        <v>4.1900000000000004</v>
      </c>
      <c r="G14" s="114"/>
    </row>
    <row r="15" spans="1:7" ht="15.75" customHeight="1" x14ac:dyDescent="0.25">
      <c r="B15" s="118" t="s">
        <v>230</v>
      </c>
      <c r="C15" s="140">
        <v>1</v>
      </c>
      <c r="D15" s="141">
        <v>2.52</v>
      </c>
      <c r="E15" s="141">
        <v>1.96</v>
      </c>
      <c r="F15" s="141">
        <v>4.1900000000000004</v>
      </c>
      <c r="G15" s="114"/>
    </row>
    <row r="16" spans="1:7" ht="15.75" customHeight="1" x14ac:dyDescent="0.3">
      <c r="A16" s="40"/>
      <c r="B16" s="118"/>
      <c r="C16" s="119"/>
      <c r="D16" s="100"/>
      <c r="E16" s="100"/>
      <c r="F16" s="100"/>
      <c r="G16" s="114"/>
    </row>
    <row r="17" spans="1:7" ht="15.75" customHeight="1" x14ac:dyDescent="0.3">
      <c r="A17" s="40" t="s">
        <v>231</v>
      </c>
      <c r="B17" s="109"/>
      <c r="C17" s="120"/>
      <c r="D17" s="121"/>
      <c r="E17" s="121"/>
      <c r="F17" s="121"/>
      <c r="G17" s="114"/>
    </row>
    <row r="18" spans="1:7" ht="15.75" customHeight="1" x14ac:dyDescent="0.25">
      <c r="B18" s="122" t="s">
        <v>73</v>
      </c>
      <c r="C18" s="140">
        <v>1</v>
      </c>
      <c r="D18" s="141">
        <v>1</v>
      </c>
      <c r="E18" s="141">
        <v>1</v>
      </c>
      <c r="F18" s="141">
        <v>1</v>
      </c>
      <c r="G18" s="114"/>
    </row>
    <row r="19" spans="1:7" ht="15.75" customHeight="1" x14ac:dyDescent="0.25">
      <c r="B19" s="122" t="s">
        <v>7</v>
      </c>
      <c r="C19" s="140">
        <v>1</v>
      </c>
      <c r="D19" s="141">
        <v>2.0699999999999998</v>
      </c>
      <c r="E19" s="141">
        <v>8.02</v>
      </c>
      <c r="F19" s="141">
        <v>11.54</v>
      </c>
      <c r="G19" s="114"/>
    </row>
    <row r="20" spans="1:7" ht="15.75" customHeight="1" x14ac:dyDescent="0.25">
      <c r="B20" s="122" t="s">
        <v>8</v>
      </c>
      <c r="C20" s="140">
        <v>1</v>
      </c>
      <c r="D20" s="141">
        <v>2.0699999999999998</v>
      </c>
      <c r="E20" s="141">
        <v>8.02</v>
      </c>
      <c r="F20" s="141">
        <v>11.54</v>
      </c>
      <c r="G20" s="114"/>
    </row>
    <row r="21" spans="1:7" ht="15.75" customHeight="1" x14ac:dyDescent="0.25">
      <c r="B21" s="122" t="s">
        <v>10</v>
      </c>
      <c r="C21" s="140">
        <v>1</v>
      </c>
      <c r="D21" s="141">
        <v>2.0699999999999998</v>
      </c>
      <c r="E21" s="141">
        <v>8.02</v>
      </c>
      <c r="F21" s="141">
        <v>11.54</v>
      </c>
      <c r="G21" s="114"/>
    </row>
    <row r="22" spans="1:7" ht="15.75" customHeight="1" x14ac:dyDescent="0.25">
      <c r="B22" s="122" t="s">
        <v>13</v>
      </c>
      <c r="C22" s="140">
        <v>1</v>
      </c>
      <c r="D22" s="141">
        <v>1</v>
      </c>
      <c r="E22" s="141">
        <v>999.99</v>
      </c>
      <c r="F22" s="141">
        <v>999.99</v>
      </c>
    </row>
    <row r="23" spans="1:7" ht="15.75" customHeight="1" x14ac:dyDescent="0.25">
      <c r="B23" s="122" t="s">
        <v>14</v>
      </c>
      <c r="C23" s="140">
        <v>1</v>
      </c>
      <c r="D23" s="141">
        <v>1</v>
      </c>
      <c r="E23" s="141">
        <v>1</v>
      </c>
      <c r="F23" s="141">
        <v>1</v>
      </c>
    </row>
    <row r="24" spans="1:7" ht="15.75" customHeight="1" x14ac:dyDescent="0.25">
      <c r="B24" s="122" t="s">
        <v>27</v>
      </c>
      <c r="C24" s="140">
        <v>1</v>
      </c>
      <c r="D24" s="141">
        <v>1</v>
      </c>
      <c r="E24" s="141">
        <v>1</v>
      </c>
      <c r="F24" s="141">
        <v>1</v>
      </c>
    </row>
    <row r="25" spans="1:7" ht="15.75" customHeight="1" x14ac:dyDescent="0.25">
      <c r="B25" s="122" t="s">
        <v>15</v>
      </c>
      <c r="C25" s="140">
        <v>1</v>
      </c>
      <c r="D25" s="141">
        <v>1</v>
      </c>
      <c r="E25" s="141">
        <v>1</v>
      </c>
      <c r="F25" s="141">
        <v>1</v>
      </c>
    </row>
    <row r="26" spans="1:7" ht="15.75" customHeight="1" x14ac:dyDescent="0.25">
      <c r="B26" s="118"/>
    </row>
    <row r="28" spans="1:7" ht="15.75" customHeight="1" x14ac:dyDescent="0.3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topLeftCell="A75" zoomScaleNormal="100" workbookViewId="0">
      <selection activeCell="F8" sqref="F8"/>
    </sheetView>
  </sheetViews>
  <sheetFormatPr defaultColWidth="12.7265625" defaultRowHeight="12.5" x14ac:dyDescent="0.25"/>
  <cols>
    <col min="1" max="1" width="27.26953125" style="35" customWidth="1"/>
    <col min="2" max="2" width="26.81640625" style="35" customWidth="1"/>
    <col min="3" max="3" width="18.26953125" style="35" customWidth="1"/>
    <col min="4" max="8" width="14.7265625" style="35" customWidth="1"/>
    <col min="9" max="12" width="15.26953125" style="35" bestFit="1" customWidth="1"/>
    <col min="13" max="16" width="16.81640625" style="35" bestFit="1" customWidth="1"/>
    <col min="17" max="16384" width="12.7265625" style="35"/>
  </cols>
  <sheetData>
    <row r="1" spans="1:16" s="105" customFormat="1" ht="13" x14ac:dyDescent="0.3">
      <c r="A1" s="104" t="s">
        <v>232</v>
      </c>
    </row>
    <row r="2" spans="1:16" ht="13" x14ac:dyDescent="0.3">
      <c r="A2" s="123" t="s">
        <v>213</v>
      </c>
      <c r="B2" s="124" t="s">
        <v>233</v>
      </c>
      <c r="C2" s="124" t="s">
        <v>234</v>
      </c>
      <c r="D2" s="108" t="s">
        <v>1</v>
      </c>
      <c r="E2" s="108" t="s">
        <v>2</v>
      </c>
      <c r="F2" s="108" t="s">
        <v>3</v>
      </c>
      <c r="G2" s="108" t="s">
        <v>4</v>
      </c>
      <c r="H2" s="108" t="s">
        <v>5</v>
      </c>
      <c r="I2" s="125"/>
      <c r="J2" s="125"/>
      <c r="K2" s="125"/>
      <c r="L2" s="125"/>
      <c r="M2" s="125"/>
      <c r="N2" s="125"/>
      <c r="O2" s="125"/>
      <c r="P2" s="125"/>
    </row>
    <row r="3" spans="1:16" ht="13" x14ac:dyDescent="0.3">
      <c r="A3" s="40"/>
      <c r="B3" s="35" t="s">
        <v>71</v>
      </c>
      <c r="C3" s="43" t="s">
        <v>235</v>
      </c>
      <c r="D3" s="140">
        <v>1</v>
      </c>
      <c r="E3" s="140">
        <v>1</v>
      </c>
      <c r="F3" s="140">
        <v>1</v>
      </c>
      <c r="G3" s="140">
        <v>1</v>
      </c>
      <c r="H3" s="140">
        <v>1</v>
      </c>
      <c r="I3" s="123"/>
      <c r="J3" s="123"/>
      <c r="K3" s="123"/>
      <c r="L3" s="123"/>
      <c r="M3" s="123"/>
      <c r="N3" s="123"/>
      <c r="O3" s="123"/>
      <c r="P3" s="123"/>
    </row>
    <row r="4" spans="1:16" x14ac:dyDescent="0.25">
      <c r="C4" s="43" t="s">
        <v>236</v>
      </c>
      <c r="D4" s="141">
        <v>1</v>
      </c>
      <c r="E4" s="141">
        <v>1.67</v>
      </c>
      <c r="F4" s="141">
        <v>1.67</v>
      </c>
      <c r="G4" s="141">
        <v>1.67</v>
      </c>
      <c r="H4" s="141">
        <v>1.67</v>
      </c>
      <c r="I4" s="123"/>
      <c r="J4" s="123"/>
      <c r="K4" s="123"/>
      <c r="L4" s="123"/>
      <c r="M4" s="123"/>
      <c r="N4" s="123"/>
      <c r="O4" s="123"/>
      <c r="P4" s="123"/>
    </row>
    <row r="5" spans="1:16" x14ac:dyDescent="0.25">
      <c r="C5" s="43" t="s">
        <v>237</v>
      </c>
      <c r="D5" s="141">
        <v>1</v>
      </c>
      <c r="E5" s="141">
        <v>2.38</v>
      </c>
      <c r="F5" s="141">
        <v>2.38</v>
      </c>
      <c r="G5" s="141">
        <v>2.38</v>
      </c>
      <c r="H5" s="141">
        <v>2.38</v>
      </c>
      <c r="I5" s="123"/>
      <c r="J5" s="123"/>
      <c r="K5" s="123"/>
      <c r="L5" s="123"/>
      <c r="M5" s="123"/>
      <c r="N5" s="123"/>
      <c r="O5" s="123"/>
      <c r="P5" s="123"/>
    </row>
    <row r="6" spans="1:16" x14ac:dyDescent="0.25">
      <c r="C6" s="43" t="s">
        <v>238</v>
      </c>
      <c r="D6" s="141">
        <v>1</v>
      </c>
      <c r="E6" s="141">
        <v>6.33</v>
      </c>
      <c r="F6" s="141">
        <v>6.33</v>
      </c>
      <c r="G6" s="141">
        <v>6.33</v>
      </c>
      <c r="H6" s="141">
        <v>6.33</v>
      </c>
      <c r="I6" s="123"/>
      <c r="J6" s="123"/>
      <c r="K6" s="123"/>
      <c r="L6" s="123"/>
      <c r="M6" s="123"/>
      <c r="N6" s="123"/>
      <c r="O6" s="123"/>
      <c r="P6" s="123"/>
    </row>
    <row r="7" spans="1:16" x14ac:dyDescent="0.25">
      <c r="B7" s="35" t="s">
        <v>16</v>
      </c>
      <c r="C7" s="43" t="s">
        <v>235</v>
      </c>
      <c r="D7" s="140">
        <v>1</v>
      </c>
      <c r="E7" s="140">
        <v>1</v>
      </c>
      <c r="F7" s="140">
        <v>1</v>
      </c>
      <c r="G7" s="140">
        <v>1</v>
      </c>
      <c r="H7" s="140">
        <v>1</v>
      </c>
      <c r="I7" s="123"/>
      <c r="J7" s="123"/>
      <c r="K7" s="123"/>
      <c r="L7" s="123"/>
      <c r="M7" s="123"/>
      <c r="N7" s="123"/>
      <c r="O7" s="123"/>
      <c r="P7" s="123"/>
    </row>
    <row r="8" spans="1:16" x14ac:dyDescent="0.25">
      <c r="C8" s="43" t="s">
        <v>236</v>
      </c>
      <c r="D8" s="141">
        <v>1</v>
      </c>
      <c r="E8" s="141">
        <v>1.55</v>
      </c>
      <c r="F8" s="141">
        <v>1.55</v>
      </c>
      <c r="G8" s="141">
        <v>1.55</v>
      </c>
      <c r="H8" s="141">
        <v>1.55</v>
      </c>
      <c r="I8" s="123"/>
      <c r="J8" s="123"/>
      <c r="K8" s="123"/>
      <c r="L8" s="123"/>
      <c r="M8" s="123"/>
      <c r="N8" s="123"/>
      <c r="O8" s="123"/>
      <c r="P8" s="123"/>
    </row>
    <row r="9" spans="1:16" x14ac:dyDescent="0.25">
      <c r="C9" s="43" t="s">
        <v>237</v>
      </c>
      <c r="D9" s="141">
        <v>1</v>
      </c>
      <c r="E9" s="141">
        <v>2.1800000000000002</v>
      </c>
      <c r="F9" s="141">
        <v>2.1800000000000002</v>
      </c>
      <c r="G9" s="141">
        <v>2.1800000000000002</v>
      </c>
      <c r="H9" s="141">
        <v>2.1800000000000002</v>
      </c>
      <c r="I9" s="123"/>
      <c r="J9" s="123"/>
      <c r="K9" s="123"/>
      <c r="L9" s="123"/>
      <c r="M9" s="123"/>
      <c r="N9" s="123"/>
      <c r="O9" s="123"/>
      <c r="P9" s="123"/>
    </row>
    <row r="10" spans="1:16" x14ac:dyDescent="0.25">
      <c r="C10" s="43" t="s">
        <v>238</v>
      </c>
      <c r="D10" s="141">
        <v>1</v>
      </c>
      <c r="E10" s="141">
        <v>6.39</v>
      </c>
      <c r="F10" s="141">
        <v>6.39</v>
      </c>
      <c r="G10" s="141">
        <v>6.39</v>
      </c>
      <c r="H10" s="141">
        <v>6.39</v>
      </c>
      <c r="I10" s="123"/>
      <c r="J10" s="123"/>
      <c r="K10" s="123"/>
      <c r="L10" s="123"/>
      <c r="M10" s="123"/>
      <c r="N10" s="123"/>
      <c r="O10" s="123"/>
      <c r="P10" s="123"/>
    </row>
    <row r="11" spans="1:16" x14ac:dyDescent="0.25">
      <c r="B11" s="35" t="s">
        <v>18</v>
      </c>
      <c r="C11" s="43" t="s">
        <v>235</v>
      </c>
      <c r="D11" s="140">
        <v>1</v>
      </c>
      <c r="E11" s="140">
        <v>1</v>
      </c>
      <c r="F11" s="140">
        <v>1</v>
      </c>
      <c r="G11" s="140">
        <v>1</v>
      </c>
      <c r="H11" s="140">
        <v>1</v>
      </c>
      <c r="I11" s="123"/>
      <c r="J11" s="123"/>
      <c r="K11" s="123"/>
      <c r="L11" s="123"/>
      <c r="M11" s="123"/>
      <c r="N11" s="123"/>
      <c r="O11" s="123"/>
      <c r="P11" s="123"/>
    </row>
    <row r="12" spans="1:16" x14ac:dyDescent="0.25">
      <c r="C12" s="43" t="s">
        <v>236</v>
      </c>
      <c r="D12" s="141">
        <v>1</v>
      </c>
      <c r="E12" s="141">
        <v>1</v>
      </c>
      <c r="F12" s="141">
        <v>1</v>
      </c>
      <c r="G12" s="141">
        <v>1</v>
      </c>
      <c r="H12" s="141">
        <v>1</v>
      </c>
      <c r="I12" s="123"/>
      <c r="J12" s="123"/>
      <c r="K12" s="123"/>
      <c r="L12" s="123"/>
      <c r="M12" s="123"/>
      <c r="N12" s="123"/>
      <c r="O12" s="123"/>
      <c r="P12" s="123"/>
    </row>
    <row r="13" spans="1:16" x14ac:dyDescent="0.25">
      <c r="C13" s="43" t="s">
        <v>237</v>
      </c>
      <c r="D13" s="141">
        <v>1</v>
      </c>
      <c r="E13" s="141">
        <v>2.79</v>
      </c>
      <c r="F13" s="141">
        <v>2.79</v>
      </c>
      <c r="G13" s="141">
        <v>2.79</v>
      </c>
      <c r="H13" s="141">
        <v>2.79</v>
      </c>
      <c r="I13" s="123"/>
      <c r="J13" s="123"/>
      <c r="K13" s="123"/>
      <c r="L13" s="123"/>
      <c r="M13" s="123"/>
      <c r="N13" s="123"/>
      <c r="O13" s="123"/>
      <c r="P13" s="123"/>
    </row>
    <row r="14" spans="1:16" x14ac:dyDescent="0.25">
      <c r="C14" s="43" t="s">
        <v>238</v>
      </c>
      <c r="D14" s="141">
        <v>1</v>
      </c>
      <c r="E14" s="141">
        <v>6.01</v>
      </c>
      <c r="F14" s="141">
        <v>6.01</v>
      </c>
      <c r="G14" s="141">
        <v>6.01</v>
      </c>
      <c r="H14" s="141">
        <v>6.01</v>
      </c>
      <c r="I14" s="123"/>
      <c r="J14" s="123"/>
      <c r="K14" s="123"/>
      <c r="L14" s="123"/>
      <c r="M14" s="123"/>
      <c r="N14" s="123"/>
      <c r="O14" s="123"/>
      <c r="P14" s="123"/>
    </row>
    <row r="15" spans="1:16" x14ac:dyDescent="0.25">
      <c r="B15" s="35" t="s">
        <v>19</v>
      </c>
      <c r="C15" s="43" t="s">
        <v>235</v>
      </c>
      <c r="D15" s="140">
        <v>1</v>
      </c>
      <c r="E15" s="140">
        <v>1</v>
      </c>
      <c r="F15" s="140">
        <v>1</v>
      </c>
      <c r="G15" s="140">
        <v>1</v>
      </c>
      <c r="H15" s="140">
        <v>1</v>
      </c>
      <c r="I15" s="123"/>
      <c r="J15" s="123"/>
      <c r="K15" s="123"/>
      <c r="L15" s="123"/>
      <c r="M15" s="123"/>
      <c r="N15" s="123"/>
      <c r="O15" s="123"/>
      <c r="P15" s="123"/>
    </row>
    <row r="16" spans="1:16" x14ac:dyDescent="0.25">
      <c r="C16" s="43" t="s">
        <v>236</v>
      </c>
      <c r="D16" s="141">
        <v>1</v>
      </c>
      <c r="E16" s="141">
        <v>1</v>
      </c>
      <c r="F16" s="141">
        <v>1</v>
      </c>
      <c r="G16" s="141">
        <v>1</v>
      </c>
      <c r="H16" s="141">
        <v>1</v>
      </c>
      <c r="I16" s="123"/>
      <c r="J16" s="123"/>
      <c r="K16" s="123"/>
      <c r="L16" s="123"/>
      <c r="M16" s="123"/>
      <c r="N16" s="123"/>
      <c r="O16" s="123"/>
      <c r="P16" s="123"/>
    </row>
    <row r="17" spans="1:16" x14ac:dyDescent="0.25">
      <c r="C17" s="43" t="s">
        <v>237</v>
      </c>
      <c r="D17" s="141">
        <v>1</v>
      </c>
      <c r="E17" s="141">
        <v>1</v>
      </c>
      <c r="F17" s="141">
        <v>1</v>
      </c>
      <c r="G17" s="141">
        <v>1</v>
      </c>
      <c r="H17" s="141">
        <v>1</v>
      </c>
      <c r="I17" s="123"/>
      <c r="J17" s="123"/>
      <c r="K17" s="123"/>
      <c r="L17" s="123"/>
      <c r="M17" s="123"/>
      <c r="N17" s="123"/>
      <c r="O17" s="123"/>
      <c r="P17" s="123"/>
    </row>
    <row r="18" spans="1:16" ht="13.9" customHeight="1" x14ac:dyDescent="0.25">
      <c r="C18" s="43" t="s">
        <v>238</v>
      </c>
      <c r="D18" s="141">
        <v>1</v>
      </c>
      <c r="E18" s="141">
        <v>1</v>
      </c>
      <c r="F18" s="141">
        <v>1</v>
      </c>
      <c r="G18" s="141">
        <v>1</v>
      </c>
      <c r="H18" s="141">
        <v>1</v>
      </c>
      <c r="I18" s="123"/>
      <c r="J18" s="123"/>
      <c r="K18" s="123"/>
      <c r="L18" s="123"/>
      <c r="M18" s="123"/>
      <c r="N18" s="123"/>
      <c r="O18" s="123"/>
      <c r="P18" s="123"/>
    </row>
    <row r="19" spans="1:16" x14ac:dyDescent="0.25">
      <c r="B19" s="36" t="s">
        <v>17</v>
      </c>
      <c r="C19" s="43" t="s">
        <v>235</v>
      </c>
      <c r="D19" s="140">
        <v>1</v>
      </c>
      <c r="E19" s="140">
        <v>1</v>
      </c>
      <c r="F19" s="140">
        <v>1</v>
      </c>
      <c r="G19" s="140">
        <v>1</v>
      </c>
      <c r="H19" s="140">
        <v>1</v>
      </c>
      <c r="I19" s="123"/>
      <c r="J19" s="123"/>
      <c r="K19" s="123"/>
      <c r="L19" s="123"/>
      <c r="M19" s="123"/>
      <c r="N19" s="123"/>
      <c r="O19" s="123"/>
      <c r="P19" s="123"/>
    </row>
    <row r="20" spans="1:16" x14ac:dyDescent="0.25">
      <c r="C20" s="43" t="s">
        <v>236</v>
      </c>
      <c r="D20" s="141">
        <v>1</v>
      </c>
      <c r="E20" s="141">
        <v>1</v>
      </c>
      <c r="F20" s="141">
        <v>1</v>
      </c>
      <c r="G20" s="141">
        <v>1</v>
      </c>
      <c r="H20" s="141">
        <v>1</v>
      </c>
      <c r="I20" s="123"/>
      <c r="J20" s="123"/>
      <c r="K20" s="123"/>
      <c r="L20" s="123"/>
      <c r="M20" s="123"/>
      <c r="N20" s="123"/>
      <c r="O20" s="123"/>
      <c r="P20" s="123"/>
    </row>
    <row r="21" spans="1:16" x14ac:dyDescent="0.25">
      <c r="C21" s="43" t="s">
        <v>237</v>
      </c>
      <c r="D21" s="141">
        <v>1</v>
      </c>
      <c r="E21" s="141">
        <v>1.86</v>
      </c>
      <c r="F21" s="141">
        <v>1.86</v>
      </c>
      <c r="G21" s="141">
        <v>1.86</v>
      </c>
      <c r="H21" s="141">
        <v>1.86</v>
      </c>
      <c r="I21" s="123"/>
      <c r="J21" s="123"/>
      <c r="K21" s="123"/>
      <c r="L21" s="123"/>
      <c r="M21" s="123"/>
      <c r="N21" s="123"/>
      <c r="O21" s="123"/>
      <c r="P21" s="123"/>
    </row>
    <row r="22" spans="1:16" x14ac:dyDescent="0.25">
      <c r="C22" s="43" t="s">
        <v>238</v>
      </c>
      <c r="D22" s="141">
        <v>1</v>
      </c>
      <c r="E22" s="141">
        <v>3.01</v>
      </c>
      <c r="F22" s="141">
        <v>3.01</v>
      </c>
      <c r="G22" s="141">
        <v>3.01</v>
      </c>
      <c r="H22" s="141">
        <v>3.01</v>
      </c>
      <c r="I22" s="123"/>
      <c r="J22" s="123"/>
      <c r="K22" s="123"/>
      <c r="L22" s="123"/>
      <c r="M22" s="123"/>
      <c r="N22" s="123"/>
      <c r="O22" s="123"/>
      <c r="P22" s="123"/>
    </row>
    <row r="23" spans="1:16" x14ac:dyDescent="0.25">
      <c r="B23" s="36" t="s">
        <v>23</v>
      </c>
      <c r="C23" s="43" t="s">
        <v>235</v>
      </c>
      <c r="D23" s="140">
        <v>1</v>
      </c>
      <c r="E23" s="140">
        <v>1</v>
      </c>
      <c r="F23" s="140">
        <v>1</v>
      </c>
      <c r="G23" s="140">
        <v>1</v>
      </c>
      <c r="H23" s="140">
        <v>1</v>
      </c>
      <c r="I23" s="123"/>
      <c r="J23" s="123"/>
      <c r="K23" s="123"/>
      <c r="L23" s="123"/>
      <c r="M23" s="123"/>
      <c r="N23" s="123"/>
      <c r="O23" s="123"/>
      <c r="P23" s="123"/>
    </row>
    <row r="24" spans="1:16" x14ac:dyDescent="0.25">
      <c r="C24" s="43" t="s">
        <v>236</v>
      </c>
      <c r="D24" s="141">
        <v>1</v>
      </c>
      <c r="E24" s="141">
        <v>1</v>
      </c>
      <c r="F24" s="141">
        <v>1</v>
      </c>
      <c r="G24" s="141">
        <v>1</v>
      </c>
      <c r="H24" s="141">
        <v>1</v>
      </c>
      <c r="I24" s="123"/>
      <c r="J24" s="123"/>
      <c r="K24" s="123"/>
      <c r="L24" s="123"/>
      <c r="M24" s="123"/>
      <c r="N24" s="123"/>
      <c r="O24" s="123"/>
      <c r="P24" s="123"/>
    </row>
    <row r="25" spans="1:16" x14ac:dyDescent="0.25">
      <c r="C25" s="43" t="s">
        <v>237</v>
      </c>
      <c r="D25" s="141">
        <v>1</v>
      </c>
      <c r="E25" s="141">
        <v>1.86</v>
      </c>
      <c r="F25" s="141">
        <v>1.86</v>
      </c>
      <c r="G25" s="141">
        <v>1.86</v>
      </c>
      <c r="H25" s="141">
        <v>1.86</v>
      </c>
      <c r="I25" s="123"/>
      <c r="J25" s="123"/>
      <c r="K25" s="123"/>
      <c r="L25" s="123"/>
      <c r="M25" s="123"/>
      <c r="N25" s="123"/>
      <c r="O25" s="123"/>
      <c r="P25" s="123"/>
    </row>
    <row r="26" spans="1:16" x14ac:dyDescent="0.25">
      <c r="C26" s="43" t="s">
        <v>238</v>
      </c>
      <c r="D26" s="141">
        <v>1</v>
      </c>
      <c r="E26" s="141">
        <v>3.01</v>
      </c>
      <c r="F26" s="141">
        <v>3.01</v>
      </c>
      <c r="G26" s="141">
        <v>3.01</v>
      </c>
      <c r="H26" s="141">
        <v>3.01</v>
      </c>
      <c r="I26" s="123"/>
      <c r="J26" s="123"/>
      <c r="K26" s="123"/>
      <c r="L26" s="123"/>
      <c r="M26" s="123"/>
      <c r="N26" s="123"/>
      <c r="O26" s="123"/>
      <c r="P26" s="123"/>
    </row>
    <row r="28" spans="1:16" s="105" customFormat="1" ht="13" x14ac:dyDescent="0.3">
      <c r="A28" s="104" t="s">
        <v>239</v>
      </c>
    </row>
    <row r="29" spans="1:16" s="36" customFormat="1" ht="13" x14ac:dyDescent="0.3">
      <c r="A29" s="126" t="s">
        <v>240</v>
      </c>
      <c r="B29" s="99" t="s">
        <v>233</v>
      </c>
      <c r="C29" s="99" t="s">
        <v>241</v>
      </c>
      <c r="D29" s="108" t="s">
        <v>1</v>
      </c>
      <c r="E29" s="108" t="s">
        <v>2</v>
      </c>
      <c r="F29" s="108" t="s">
        <v>3</v>
      </c>
      <c r="G29" s="108" t="s">
        <v>4</v>
      </c>
      <c r="H29" s="108" t="s">
        <v>5</v>
      </c>
      <c r="I29" s="125"/>
      <c r="J29" s="125"/>
      <c r="K29" s="125"/>
      <c r="L29" s="125"/>
      <c r="M29" s="125"/>
      <c r="N29" s="125"/>
      <c r="O29" s="125"/>
      <c r="P29" s="125"/>
    </row>
    <row r="30" spans="1:16" ht="13" x14ac:dyDescent="0.3">
      <c r="A30" s="40"/>
      <c r="B30" s="35" t="s">
        <v>71</v>
      </c>
      <c r="C30" s="43" t="s">
        <v>235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  <c r="I30" s="127"/>
      <c r="J30" s="123"/>
      <c r="K30" s="123"/>
      <c r="L30" s="123"/>
      <c r="M30" s="123"/>
      <c r="N30" s="123"/>
      <c r="O30" s="123"/>
      <c r="P30" s="123"/>
    </row>
    <row r="31" spans="1:16" x14ac:dyDescent="0.25">
      <c r="C31" s="43" t="s">
        <v>236</v>
      </c>
      <c r="D31" s="141">
        <v>1</v>
      </c>
      <c r="E31" s="141">
        <v>1.6</v>
      </c>
      <c r="F31" s="141">
        <v>1.6</v>
      </c>
      <c r="G31" s="141">
        <v>1.6</v>
      </c>
      <c r="H31" s="141">
        <v>1.6</v>
      </c>
      <c r="I31" s="123"/>
      <c r="J31" s="123"/>
      <c r="K31" s="123"/>
      <c r="L31" s="123"/>
      <c r="M31" s="123"/>
      <c r="N31" s="123"/>
      <c r="O31" s="123"/>
      <c r="P31" s="123"/>
    </row>
    <row r="32" spans="1:16" x14ac:dyDescent="0.25">
      <c r="C32" s="43" t="s">
        <v>65</v>
      </c>
      <c r="D32" s="141">
        <v>1</v>
      </c>
      <c r="E32" s="141">
        <v>3.41</v>
      </c>
      <c r="F32" s="141">
        <v>3.41</v>
      </c>
      <c r="G32" s="141">
        <v>3.41</v>
      </c>
      <c r="H32" s="141">
        <v>3.41</v>
      </c>
      <c r="I32" s="123"/>
      <c r="J32" s="123"/>
      <c r="K32" s="123"/>
      <c r="L32" s="123"/>
      <c r="M32" s="123"/>
      <c r="N32" s="123"/>
      <c r="O32" s="123"/>
      <c r="P32" s="123"/>
    </row>
    <row r="33" spans="2:16" x14ac:dyDescent="0.25">
      <c r="C33" s="43" t="s">
        <v>66</v>
      </c>
      <c r="D33" s="141">
        <v>1</v>
      </c>
      <c r="E33" s="141">
        <v>12.33</v>
      </c>
      <c r="F33" s="141">
        <v>12.33</v>
      </c>
      <c r="G33" s="141">
        <v>12.33</v>
      </c>
      <c r="H33" s="141">
        <v>12.33</v>
      </c>
      <c r="I33" s="123"/>
      <c r="J33" s="123"/>
      <c r="K33" s="123"/>
      <c r="L33" s="123"/>
      <c r="M33" s="123"/>
      <c r="N33" s="123"/>
      <c r="O33" s="123"/>
      <c r="P33" s="123"/>
    </row>
    <row r="34" spans="2:16" x14ac:dyDescent="0.25">
      <c r="B34" s="35" t="s">
        <v>16</v>
      </c>
      <c r="C34" s="43" t="s">
        <v>235</v>
      </c>
      <c r="D34" s="140">
        <v>1</v>
      </c>
      <c r="E34" s="140">
        <v>1</v>
      </c>
      <c r="F34" s="140">
        <v>1</v>
      </c>
      <c r="G34" s="140">
        <v>1</v>
      </c>
      <c r="H34" s="140">
        <v>1</v>
      </c>
      <c r="I34" s="123"/>
      <c r="J34" s="123"/>
      <c r="K34" s="123"/>
      <c r="L34" s="123"/>
      <c r="M34" s="123"/>
      <c r="N34" s="123"/>
      <c r="O34" s="123"/>
      <c r="P34" s="123"/>
    </row>
    <row r="35" spans="2:16" x14ac:dyDescent="0.25">
      <c r="C35" s="43" t="s">
        <v>236</v>
      </c>
      <c r="D35" s="141">
        <v>1</v>
      </c>
      <c r="E35" s="141">
        <v>1.92</v>
      </c>
      <c r="F35" s="141">
        <v>1.92</v>
      </c>
      <c r="G35" s="141">
        <v>1.92</v>
      </c>
      <c r="H35" s="141">
        <v>1.92</v>
      </c>
      <c r="I35" s="123"/>
      <c r="J35" s="123"/>
      <c r="K35" s="123"/>
      <c r="L35" s="123"/>
      <c r="M35" s="123"/>
      <c r="N35" s="123"/>
      <c r="O35" s="123"/>
      <c r="P35" s="123"/>
    </row>
    <row r="36" spans="2:16" x14ac:dyDescent="0.25">
      <c r="C36" s="43" t="s">
        <v>65</v>
      </c>
      <c r="D36" s="141">
        <v>1</v>
      </c>
      <c r="E36" s="141">
        <v>4.66</v>
      </c>
      <c r="F36" s="141">
        <v>4.66</v>
      </c>
      <c r="G36" s="141">
        <v>4.66</v>
      </c>
      <c r="H36" s="141">
        <v>4.66</v>
      </c>
      <c r="I36" s="123"/>
      <c r="J36" s="123"/>
      <c r="K36" s="123"/>
      <c r="L36" s="123"/>
      <c r="M36" s="123"/>
      <c r="N36" s="123"/>
      <c r="O36" s="123"/>
      <c r="P36" s="123"/>
    </row>
    <row r="37" spans="2:16" x14ac:dyDescent="0.25">
      <c r="C37" s="43" t="s">
        <v>66</v>
      </c>
      <c r="D37" s="141">
        <v>1</v>
      </c>
      <c r="E37" s="141">
        <v>9.68</v>
      </c>
      <c r="F37" s="141">
        <v>9.68</v>
      </c>
      <c r="G37" s="141">
        <v>9.68</v>
      </c>
      <c r="H37" s="141">
        <v>9.68</v>
      </c>
      <c r="I37" s="123"/>
      <c r="J37" s="123"/>
      <c r="K37" s="123"/>
      <c r="L37" s="123"/>
      <c r="M37" s="123"/>
      <c r="N37" s="123"/>
      <c r="O37" s="123"/>
      <c r="P37" s="123"/>
    </row>
    <row r="38" spans="2:16" x14ac:dyDescent="0.25">
      <c r="B38" s="35" t="s">
        <v>18</v>
      </c>
      <c r="C38" s="43" t="s">
        <v>235</v>
      </c>
      <c r="D38" s="140">
        <v>1</v>
      </c>
      <c r="E38" s="140">
        <v>1</v>
      </c>
      <c r="F38" s="140">
        <v>1</v>
      </c>
      <c r="G38" s="140">
        <v>1</v>
      </c>
      <c r="H38" s="140">
        <v>1</v>
      </c>
      <c r="I38" s="123"/>
      <c r="J38" s="123"/>
      <c r="K38" s="123"/>
      <c r="L38" s="123"/>
      <c r="M38" s="123"/>
      <c r="N38" s="123"/>
      <c r="O38" s="123"/>
      <c r="P38" s="123"/>
    </row>
    <row r="39" spans="2:16" x14ac:dyDescent="0.25">
      <c r="C39" s="43" t="s">
        <v>236</v>
      </c>
      <c r="D39" s="141">
        <v>1</v>
      </c>
      <c r="E39" s="141">
        <v>1</v>
      </c>
      <c r="F39" s="141">
        <v>1</v>
      </c>
      <c r="G39" s="141">
        <v>1</v>
      </c>
      <c r="H39" s="141">
        <v>1</v>
      </c>
      <c r="I39" s="123"/>
      <c r="J39" s="123"/>
      <c r="K39" s="123"/>
      <c r="L39" s="123"/>
      <c r="M39" s="123"/>
      <c r="N39" s="123"/>
      <c r="O39" s="123"/>
      <c r="P39" s="123"/>
    </row>
    <row r="40" spans="2:16" x14ac:dyDescent="0.25">
      <c r="C40" s="43" t="s">
        <v>65</v>
      </c>
      <c r="D40" s="141">
        <v>1</v>
      </c>
      <c r="E40" s="141">
        <v>2.58</v>
      </c>
      <c r="F40" s="141">
        <v>2.58</v>
      </c>
      <c r="G40" s="141">
        <v>2.58</v>
      </c>
      <c r="H40" s="141">
        <v>2.58</v>
      </c>
      <c r="I40" s="123"/>
      <c r="J40" s="123"/>
      <c r="K40" s="123"/>
      <c r="L40" s="123"/>
      <c r="M40" s="123"/>
      <c r="N40" s="123"/>
      <c r="O40" s="123"/>
      <c r="P40" s="123"/>
    </row>
    <row r="41" spans="2:16" x14ac:dyDescent="0.25">
      <c r="C41" s="43" t="s">
        <v>66</v>
      </c>
      <c r="D41" s="141">
        <v>1</v>
      </c>
      <c r="E41" s="141">
        <v>9.6300000000000008</v>
      </c>
      <c r="F41" s="141">
        <v>9.6300000000000008</v>
      </c>
      <c r="G41" s="141">
        <v>9.6300000000000008</v>
      </c>
      <c r="H41" s="141">
        <v>9.6300000000000008</v>
      </c>
      <c r="I41" s="123"/>
      <c r="J41" s="123"/>
      <c r="K41" s="123"/>
      <c r="L41" s="123"/>
      <c r="M41" s="123"/>
      <c r="N41" s="123"/>
      <c r="O41" s="123"/>
      <c r="P41" s="123"/>
    </row>
    <row r="42" spans="2:16" x14ac:dyDescent="0.25">
      <c r="B42" s="35" t="s">
        <v>19</v>
      </c>
      <c r="C42" s="43" t="s">
        <v>235</v>
      </c>
      <c r="D42" s="140">
        <v>1</v>
      </c>
      <c r="E42" s="140">
        <v>1</v>
      </c>
      <c r="F42" s="140">
        <v>1</v>
      </c>
      <c r="G42" s="140">
        <v>1</v>
      </c>
      <c r="H42" s="140">
        <v>1</v>
      </c>
      <c r="I42" s="123"/>
      <c r="J42" s="123"/>
      <c r="K42" s="123"/>
      <c r="L42" s="123"/>
      <c r="M42" s="123"/>
      <c r="N42" s="123"/>
      <c r="O42" s="123"/>
      <c r="P42" s="123"/>
    </row>
    <row r="43" spans="2:16" x14ac:dyDescent="0.25">
      <c r="C43" s="43" t="s">
        <v>236</v>
      </c>
      <c r="D43" s="141">
        <v>1</v>
      </c>
      <c r="E43" s="141">
        <v>1</v>
      </c>
      <c r="F43" s="141">
        <v>1</v>
      </c>
      <c r="G43" s="141">
        <v>1</v>
      </c>
      <c r="H43" s="141">
        <v>1</v>
      </c>
      <c r="I43" s="123"/>
      <c r="J43" s="123"/>
      <c r="K43" s="123"/>
      <c r="L43" s="123"/>
      <c r="M43" s="123"/>
      <c r="N43" s="123"/>
      <c r="O43" s="123"/>
      <c r="P43" s="123"/>
    </row>
    <row r="44" spans="2:16" x14ac:dyDescent="0.25">
      <c r="C44" s="43" t="s">
        <v>65</v>
      </c>
      <c r="D44" s="141">
        <v>1</v>
      </c>
      <c r="E44" s="141">
        <v>1</v>
      </c>
      <c r="F44" s="141">
        <v>1</v>
      </c>
      <c r="G44" s="141">
        <v>1</v>
      </c>
      <c r="H44" s="141">
        <v>1</v>
      </c>
      <c r="I44" s="123"/>
      <c r="J44" s="123"/>
      <c r="K44" s="123"/>
      <c r="L44" s="123"/>
      <c r="M44" s="123"/>
      <c r="N44" s="123"/>
      <c r="O44" s="123"/>
      <c r="P44" s="123"/>
    </row>
    <row r="45" spans="2:16" x14ac:dyDescent="0.25">
      <c r="C45" s="43" t="s">
        <v>66</v>
      </c>
      <c r="D45" s="141">
        <v>1</v>
      </c>
      <c r="E45" s="141">
        <v>1</v>
      </c>
      <c r="F45" s="141">
        <v>1</v>
      </c>
      <c r="G45" s="141">
        <v>1</v>
      </c>
      <c r="H45" s="141">
        <v>1</v>
      </c>
      <c r="I45" s="123"/>
      <c r="J45" s="123"/>
      <c r="K45" s="123"/>
      <c r="L45" s="123"/>
      <c r="M45" s="123"/>
      <c r="N45" s="123"/>
      <c r="O45" s="123"/>
      <c r="P45" s="123"/>
    </row>
    <row r="46" spans="2:16" x14ac:dyDescent="0.25">
      <c r="B46" s="35" t="s">
        <v>17</v>
      </c>
      <c r="C46" s="43" t="s">
        <v>235</v>
      </c>
      <c r="D46" s="140">
        <v>1</v>
      </c>
      <c r="E46" s="140">
        <v>1</v>
      </c>
      <c r="F46" s="140">
        <v>1</v>
      </c>
      <c r="G46" s="140">
        <v>1</v>
      </c>
      <c r="H46" s="140">
        <v>1</v>
      </c>
      <c r="I46" s="123"/>
      <c r="J46" s="123"/>
      <c r="K46" s="123"/>
      <c r="L46" s="123"/>
      <c r="M46" s="123"/>
      <c r="N46" s="123"/>
      <c r="O46" s="123"/>
      <c r="P46" s="123"/>
    </row>
    <row r="47" spans="2:16" x14ac:dyDescent="0.25">
      <c r="C47" s="43" t="s">
        <v>236</v>
      </c>
      <c r="D47" s="141">
        <v>1</v>
      </c>
      <c r="E47" s="141">
        <v>1.65</v>
      </c>
      <c r="F47" s="141">
        <v>1.65</v>
      </c>
      <c r="G47" s="141">
        <v>1.65</v>
      </c>
      <c r="H47" s="141">
        <v>1.65</v>
      </c>
      <c r="I47" s="123"/>
      <c r="J47" s="123"/>
      <c r="K47" s="123"/>
      <c r="L47" s="123"/>
      <c r="M47" s="123"/>
      <c r="N47" s="123"/>
      <c r="O47" s="123"/>
      <c r="P47" s="123"/>
    </row>
    <row r="48" spans="2:16" x14ac:dyDescent="0.25">
      <c r="C48" s="43" t="s">
        <v>65</v>
      </c>
      <c r="D48" s="141">
        <v>1</v>
      </c>
      <c r="E48" s="141">
        <v>2.73</v>
      </c>
      <c r="F48" s="141">
        <v>2.73</v>
      </c>
      <c r="G48" s="141">
        <v>2.73</v>
      </c>
      <c r="H48" s="141">
        <v>2.73</v>
      </c>
      <c r="I48" s="123"/>
      <c r="J48" s="123"/>
      <c r="K48" s="123"/>
      <c r="L48" s="123"/>
      <c r="M48" s="123"/>
      <c r="N48" s="123"/>
      <c r="O48" s="123"/>
      <c r="P48" s="123"/>
    </row>
    <row r="49" spans="1:16" x14ac:dyDescent="0.25">
      <c r="C49" s="43" t="s">
        <v>66</v>
      </c>
      <c r="D49" s="141">
        <v>1</v>
      </c>
      <c r="E49" s="141">
        <v>11.21</v>
      </c>
      <c r="F49" s="141">
        <v>11.21</v>
      </c>
      <c r="G49" s="141">
        <v>11.21</v>
      </c>
      <c r="H49" s="141">
        <v>11.21</v>
      </c>
      <c r="I49" s="123"/>
      <c r="J49" s="123"/>
      <c r="K49" s="123"/>
      <c r="L49" s="123"/>
      <c r="M49" s="123"/>
      <c r="N49" s="123"/>
      <c r="O49" s="123"/>
      <c r="P49" s="123"/>
    </row>
    <row r="50" spans="1:16" x14ac:dyDescent="0.25">
      <c r="B50" s="35" t="s">
        <v>23</v>
      </c>
      <c r="C50" s="43" t="s">
        <v>235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  <c r="I50" s="123"/>
      <c r="J50" s="123"/>
      <c r="K50" s="123"/>
      <c r="L50" s="123"/>
      <c r="M50" s="123"/>
      <c r="N50" s="123"/>
      <c r="O50" s="123"/>
      <c r="P50" s="123"/>
    </row>
    <row r="51" spans="1:16" x14ac:dyDescent="0.25">
      <c r="C51" s="43" t="s">
        <v>236</v>
      </c>
      <c r="D51" s="141">
        <v>1</v>
      </c>
      <c r="E51" s="141">
        <v>1.65</v>
      </c>
      <c r="F51" s="141">
        <v>1.65</v>
      </c>
      <c r="G51" s="141">
        <v>1.65</v>
      </c>
      <c r="H51" s="141">
        <v>1.65</v>
      </c>
      <c r="I51" s="123"/>
      <c r="J51" s="123"/>
      <c r="K51" s="123"/>
      <c r="L51" s="123"/>
      <c r="M51" s="123"/>
      <c r="N51" s="123"/>
      <c r="O51" s="123"/>
      <c r="P51" s="123"/>
    </row>
    <row r="52" spans="1:16" x14ac:dyDescent="0.25">
      <c r="C52" s="43" t="s">
        <v>65</v>
      </c>
      <c r="D52" s="141">
        <v>1</v>
      </c>
      <c r="E52" s="141">
        <v>2.73</v>
      </c>
      <c r="F52" s="141">
        <v>2.73</v>
      </c>
      <c r="G52" s="141">
        <v>2.73</v>
      </c>
      <c r="H52" s="141">
        <v>2.73</v>
      </c>
      <c r="I52" s="123"/>
      <c r="J52" s="123"/>
      <c r="K52" s="123"/>
      <c r="L52" s="123"/>
      <c r="M52" s="123"/>
      <c r="N52" s="123"/>
      <c r="O52" s="123"/>
      <c r="P52" s="123"/>
    </row>
    <row r="53" spans="1:16" x14ac:dyDescent="0.25">
      <c r="C53" s="43" t="s">
        <v>66</v>
      </c>
      <c r="D53" s="141">
        <v>1</v>
      </c>
      <c r="E53" s="141">
        <v>11.21</v>
      </c>
      <c r="F53" s="141">
        <v>11.21</v>
      </c>
      <c r="G53" s="141">
        <v>11.21</v>
      </c>
      <c r="H53" s="141">
        <v>11.21</v>
      </c>
      <c r="I53" s="123"/>
      <c r="J53" s="123"/>
      <c r="K53" s="123"/>
      <c r="L53" s="123"/>
      <c r="M53" s="123"/>
      <c r="N53" s="123"/>
      <c r="O53" s="123"/>
      <c r="P53" s="123"/>
    </row>
    <row r="54" spans="1:16" x14ac:dyDescent="0.25">
      <c r="C54" s="43"/>
      <c r="D54" s="43"/>
    </row>
    <row r="55" spans="1:16" s="105" customFormat="1" ht="13" x14ac:dyDescent="0.3">
      <c r="A55" s="104" t="s">
        <v>242</v>
      </c>
    </row>
    <row r="56" spans="1:16" s="36" customFormat="1" ht="26" x14ac:dyDescent="0.3">
      <c r="A56" s="126" t="s">
        <v>70</v>
      </c>
      <c r="B56" s="99" t="s">
        <v>233</v>
      </c>
      <c r="C56" s="128" t="s">
        <v>243</v>
      </c>
      <c r="D56" s="108" t="s">
        <v>53</v>
      </c>
      <c r="E56" s="108" t="s">
        <v>54</v>
      </c>
      <c r="F56" s="108" t="s">
        <v>55</v>
      </c>
      <c r="G56" s="108" t="s">
        <v>56</v>
      </c>
      <c r="H56" s="125"/>
      <c r="M56" s="125"/>
      <c r="N56" s="125"/>
      <c r="O56" s="125"/>
      <c r="P56" s="125"/>
    </row>
    <row r="57" spans="1:16" ht="13" x14ac:dyDescent="0.3">
      <c r="A57" s="40"/>
      <c r="B57" s="35" t="s">
        <v>38</v>
      </c>
      <c r="C57" s="43" t="s">
        <v>244</v>
      </c>
      <c r="D57" s="140">
        <v>1</v>
      </c>
      <c r="E57" s="140">
        <v>1</v>
      </c>
      <c r="F57" s="140">
        <v>1</v>
      </c>
      <c r="G57" s="140">
        <v>1</v>
      </c>
      <c r="H57" s="123"/>
      <c r="M57" s="123"/>
      <c r="N57" s="123"/>
      <c r="O57" s="123"/>
      <c r="P57" s="123"/>
    </row>
    <row r="58" spans="1:16" x14ac:dyDescent="0.25">
      <c r="C58" s="43" t="s">
        <v>245</v>
      </c>
      <c r="D58" s="141">
        <v>10.675000000000001</v>
      </c>
      <c r="E58" s="141">
        <v>10.675000000000001</v>
      </c>
      <c r="F58" s="141">
        <v>10.675000000000001</v>
      </c>
      <c r="G58" s="141">
        <v>10.675000000000001</v>
      </c>
      <c r="H58" s="123"/>
      <c r="M58" s="123"/>
      <c r="N58" s="123"/>
      <c r="O58" s="123"/>
      <c r="P58" s="123"/>
    </row>
    <row r="59" spans="1:16" x14ac:dyDescent="0.25">
      <c r="B59" s="35" t="s">
        <v>39</v>
      </c>
      <c r="C59" s="43" t="s">
        <v>244</v>
      </c>
      <c r="D59" s="140">
        <v>1</v>
      </c>
      <c r="E59" s="140">
        <v>1</v>
      </c>
      <c r="F59" s="140">
        <v>1</v>
      </c>
      <c r="G59" s="140">
        <v>1</v>
      </c>
      <c r="H59" s="123"/>
      <c r="M59" s="123"/>
      <c r="N59" s="123"/>
      <c r="O59" s="123"/>
      <c r="P59" s="123"/>
    </row>
    <row r="60" spans="1:16" x14ac:dyDescent="0.25">
      <c r="C60" s="43" t="s">
        <v>245</v>
      </c>
      <c r="D60" s="141">
        <v>10.675000000000001</v>
      </c>
      <c r="E60" s="141">
        <v>10.675000000000001</v>
      </c>
      <c r="F60" s="141">
        <v>10.675000000000001</v>
      </c>
      <c r="G60" s="141">
        <v>10.675000000000001</v>
      </c>
      <c r="H60" s="123"/>
      <c r="M60" s="123"/>
      <c r="N60" s="123"/>
      <c r="O60" s="123"/>
      <c r="P60" s="123"/>
    </row>
    <row r="61" spans="1:16" x14ac:dyDescent="0.25">
      <c r="B61" s="35" t="s">
        <v>40</v>
      </c>
      <c r="C61" s="43" t="s">
        <v>244</v>
      </c>
      <c r="D61" s="140">
        <v>1</v>
      </c>
      <c r="E61" s="140">
        <v>1</v>
      </c>
      <c r="F61" s="140">
        <v>1</v>
      </c>
      <c r="G61" s="140">
        <v>1</v>
      </c>
      <c r="H61" s="123"/>
      <c r="M61" s="123"/>
      <c r="N61" s="123"/>
      <c r="O61" s="123"/>
      <c r="P61" s="123"/>
    </row>
    <row r="62" spans="1:16" x14ac:dyDescent="0.25">
      <c r="C62" s="43" t="s">
        <v>245</v>
      </c>
      <c r="D62" s="141">
        <v>10.675000000000001</v>
      </c>
      <c r="E62" s="141">
        <v>10.675000000000001</v>
      </c>
      <c r="F62" s="141">
        <v>10.675000000000001</v>
      </c>
      <c r="G62" s="141">
        <v>10.675000000000001</v>
      </c>
      <c r="H62" s="123"/>
      <c r="M62" s="123"/>
      <c r="N62" s="123"/>
      <c r="O62" s="123"/>
      <c r="P62" s="123"/>
    </row>
    <row r="63" spans="1:16" x14ac:dyDescent="0.25">
      <c r="C63" s="43"/>
      <c r="D63" s="43"/>
    </row>
    <row r="64" spans="1:16" s="105" customFormat="1" ht="13" x14ac:dyDescent="0.3">
      <c r="A64" s="104" t="s">
        <v>246</v>
      </c>
    </row>
    <row r="65" spans="1:16" s="36" customFormat="1" ht="26" x14ac:dyDescent="0.3">
      <c r="A65" s="126" t="s">
        <v>24</v>
      </c>
      <c r="B65" s="99" t="s">
        <v>233</v>
      </c>
      <c r="C65" s="128" t="s">
        <v>247</v>
      </c>
      <c r="D65" s="108" t="s">
        <v>1</v>
      </c>
      <c r="E65" s="108" t="s">
        <v>2</v>
      </c>
      <c r="F65" s="108" t="s">
        <v>3</v>
      </c>
      <c r="G65" s="108" t="s">
        <v>4</v>
      </c>
      <c r="H65" s="129" t="s">
        <v>5</v>
      </c>
      <c r="I65" s="125"/>
      <c r="J65" s="125"/>
      <c r="K65" s="125"/>
      <c r="L65" s="125"/>
      <c r="M65" s="125"/>
      <c r="N65" s="125"/>
      <c r="O65" s="125"/>
      <c r="P65" s="125"/>
    </row>
    <row r="66" spans="1:16" ht="13" x14ac:dyDescent="0.3">
      <c r="A66" s="130"/>
      <c r="B66" s="35" t="s">
        <v>73</v>
      </c>
      <c r="C66" s="43" t="s">
        <v>166</v>
      </c>
      <c r="D66" s="140">
        <v>1</v>
      </c>
      <c r="E66" s="140">
        <v>1</v>
      </c>
      <c r="F66" s="140">
        <v>1</v>
      </c>
      <c r="G66" s="140">
        <v>1</v>
      </c>
      <c r="H66" s="123">
        <v>1</v>
      </c>
      <c r="I66" s="123"/>
      <c r="J66" s="123"/>
      <c r="K66" s="123"/>
      <c r="L66" s="123"/>
      <c r="M66" s="123"/>
      <c r="N66" s="123"/>
      <c r="O66" s="123"/>
      <c r="P66" s="123"/>
    </row>
    <row r="67" spans="1:16" x14ac:dyDescent="0.25">
      <c r="C67" s="43" t="s">
        <v>167</v>
      </c>
      <c r="D67" s="141">
        <v>1.35</v>
      </c>
      <c r="E67" s="141">
        <v>1</v>
      </c>
      <c r="F67" s="141">
        <v>1</v>
      </c>
      <c r="G67" s="141">
        <v>1</v>
      </c>
      <c r="H67" s="123">
        <v>1</v>
      </c>
      <c r="I67" s="123"/>
      <c r="J67" s="123"/>
      <c r="K67" s="123"/>
      <c r="L67" s="123"/>
      <c r="M67" s="123"/>
      <c r="N67" s="123"/>
      <c r="O67" s="123"/>
      <c r="P67" s="123"/>
    </row>
    <row r="68" spans="1:16" x14ac:dyDescent="0.25">
      <c r="C68" s="43" t="s">
        <v>168</v>
      </c>
      <c r="D68" s="141">
        <v>1.35</v>
      </c>
      <c r="E68" s="141">
        <v>1</v>
      </c>
      <c r="F68" s="141">
        <v>1</v>
      </c>
      <c r="G68" s="141">
        <v>1</v>
      </c>
      <c r="H68" s="123">
        <v>1</v>
      </c>
      <c r="I68" s="123"/>
      <c r="J68" s="123"/>
      <c r="K68" s="123"/>
      <c r="L68" s="123"/>
      <c r="M68" s="123"/>
      <c r="N68" s="123"/>
      <c r="O68" s="123"/>
      <c r="P68" s="123"/>
    </row>
    <row r="69" spans="1:16" x14ac:dyDescent="0.25">
      <c r="C69" s="43" t="s">
        <v>169</v>
      </c>
      <c r="D69" s="141">
        <v>5.4</v>
      </c>
      <c r="E69" s="141">
        <v>1</v>
      </c>
      <c r="F69" s="141">
        <v>1</v>
      </c>
      <c r="G69" s="141">
        <v>1</v>
      </c>
      <c r="H69" s="123">
        <v>1</v>
      </c>
      <c r="I69" s="123"/>
      <c r="J69" s="123"/>
      <c r="K69" s="123"/>
      <c r="L69" s="123"/>
      <c r="M69" s="123"/>
      <c r="N69" s="123"/>
      <c r="O69" s="123"/>
      <c r="P69" s="123"/>
    </row>
    <row r="70" spans="1:16" x14ac:dyDescent="0.25">
      <c r="B70" s="35" t="s">
        <v>7</v>
      </c>
      <c r="C70" s="43" t="s">
        <v>166</v>
      </c>
      <c r="D70" s="140">
        <v>1</v>
      </c>
      <c r="E70" s="140">
        <v>1</v>
      </c>
      <c r="F70" s="140">
        <v>1</v>
      </c>
      <c r="G70" s="140">
        <v>1</v>
      </c>
      <c r="H70" s="123">
        <v>1</v>
      </c>
      <c r="I70" s="123"/>
      <c r="J70" s="123"/>
      <c r="K70" s="123"/>
      <c r="L70" s="123"/>
      <c r="M70" s="123"/>
      <c r="N70" s="123"/>
      <c r="O70" s="123"/>
      <c r="P70" s="123"/>
    </row>
    <row r="71" spans="1:16" x14ac:dyDescent="0.25">
      <c r="C71" s="43" t="s">
        <v>167</v>
      </c>
      <c r="D71" s="141">
        <v>1.35</v>
      </c>
      <c r="E71" s="141">
        <v>1</v>
      </c>
      <c r="F71" s="141">
        <v>1</v>
      </c>
      <c r="G71" s="141">
        <v>1</v>
      </c>
      <c r="H71" s="123">
        <v>1</v>
      </c>
      <c r="I71" s="123"/>
      <c r="J71" s="123"/>
      <c r="K71" s="123"/>
      <c r="L71" s="123"/>
      <c r="M71" s="123"/>
      <c r="N71" s="123"/>
      <c r="O71" s="123"/>
      <c r="P71" s="123"/>
    </row>
    <row r="72" spans="1:16" x14ac:dyDescent="0.25">
      <c r="C72" s="43" t="s">
        <v>168</v>
      </c>
      <c r="D72" s="141">
        <v>1.35</v>
      </c>
      <c r="E72" s="141">
        <v>1</v>
      </c>
      <c r="F72" s="141">
        <v>1</v>
      </c>
      <c r="G72" s="141">
        <v>1</v>
      </c>
      <c r="H72" s="123">
        <v>1</v>
      </c>
      <c r="I72" s="123"/>
      <c r="J72" s="123"/>
      <c r="K72" s="123"/>
      <c r="L72" s="123"/>
      <c r="M72" s="123"/>
      <c r="N72" s="123"/>
      <c r="O72" s="123"/>
      <c r="P72" s="123"/>
    </row>
    <row r="73" spans="1:16" x14ac:dyDescent="0.25">
      <c r="C73" s="43" t="s">
        <v>169</v>
      </c>
      <c r="D73" s="141">
        <v>5.4</v>
      </c>
      <c r="E73" s="141">
        <v>1</v>
      </c>
      <c r="F73" s="141">
        <v>1</v>
      </c>
      <c r="G73" s="141">
        <v>1</v>
      </c>
      <c r="H73" s="123">
        <v>1</v>
      </c>
      <c r="I73" s="123"/>
      <c r="J73" s="123"/>
      <c r="K73" s="123"/>
      <c r="L73" s="123"/>
      <c r="M73" s="123"/>
      <c r="N73" s="123"/>
      <c r="O73" s="123"/>
      <c r="P73" s="123"/>
    </row>
    <row r="74" spans="1:16" x14ac:dyDescent="0.25">
      <c r="B74" s="35" t="s">
        <v>8</v>
      </c>
      <c r="C74" s="43" t="s">
        <v>166</v>
      </c>
      <c r="D74" s="140">
        <v>1</v>
      </c>
      <c r="E74" s="140">
        <v>1</v>
      </c>
      <c r="F74" s="140">
        <v>1</v>
      </c>
      <c r="G74" s="140">
        <v>1</v>
      </c>
      <c r="H74" s="123">
        <v>1</v>
      </c>
      <c r="I74" s="123"/>
      <c r="J74" s="123"/>
      <c r="K74" s="123"/>
      <c r="L74" s="123"/>
      <c r="M74" s="123"/>
      <c r="N74" s="123"/>
      <c r="O74" s="123"/>
      <c r="P74" s="123"/>
    </row>
    <row r="75" spans="1:16" x14ac:dyDescent="0.25">
      <c r="C75" s="43" t="s">
        <v>167</v>
      </c>
      <c r="D75" s="141">
        <v>1.35</v>
      </c>
      <c r="E75" s="141">
        <v>1</v>
      </c>
      <c r="F75" s="141">
        <v>1</v>
      </c>
      <c r="G75" s="141">
        <v>1</v>
      </c>
      <c r="H75" s="123">
        <v>1</v>
      </c>
      <c r="I75" s="123"/>
      <c r="J75" s="123"/>
      <c r="K75" s="123"/>
      <c r="L75" s="123"/>
      <c r="M75" s="123"/>
      <c r="N75" s="123"/>
      <c r="O75" s="123"/>
      <c r="P75" s="123"/>
    </row>
    <row r="76" spans="1:16" x14ac:dyDescent="0.25">
      <c r="C76" s="43" t="s">
        <v>168</v>
      </c>
      <c r="D76" s="141">
        <v>1.35</v>
      </c>
      <c r="E76" s="141">
        <v>1</v>
      </c>
      <c r="F76" s="141">
        <v>1</v>
      </c>
      <c r="G76" s="141">
        <v>1</v>
      </c>
      <c r="H76" s="123">
        <v>1</v>
      </c>
      <c r="I76" s="123"/>
      <c r="J76" s="123"/>
      <c r="K76" s="123"/>
      <c r="L76" s="123"/>
      <c r="M76" s="123"/>
      <c r="N76" s="123"/>
      <c r="O76" s="123"/>
      <c r="P76" s="123"/>
    </row>
    <row r="77" spans="1:16" x14ac:dyDescent="0.25">
      <c r="C77" s="43" t="s">
        <v>169</v>
      </c>
      <c r="D77" s="141">
        <v>5.4</v>
      </c>
      <c r="E77" s="141">
        <v>1</v>
      </c>
      <c r="F77" s="141">
        <v>1</v>
      </c>
      <c r="G77" s="141">
        <v>1</v>
      </c>
      <c r="H77" s="123">
        <v>1</v>
      </c>
      <c r="I77" s="123"/>
      <c r="J77" s="123"/>
      <c r="K77" s="123"/>
      <c r="L77" s="123"/>
      <c r="M77" s="123"/>
      <c r="N77" s="123"/>
      <c r="O77" s="123"/>
      <c r="P77" s="123"/>
    </row>
    <row r="78" spans="1:16" x14ac:dyDescent="0.25">
      <c r="B78" s="35" t="s">
        <v>13</v>
      </c>
      <c r="C78" s="43" t="s">
        <v>166</v>
      </c>
      <c r="D78" s="140">
        <v>1</v>
      </c>
      <c r="E78" s="140">
        <v>1</v>
      </c>
      <c r="F78" s="140">
        <v>1</v>
      </c>
      <c r="G78" s="140">
        <v>1</v>
      </c>
      <c r="H78" s="123">
        <v>1</v>
      </c>
      <c r="I78" s="123"/>
      <c r="J78" s="123"/>
      <c r="K78" s="123"/>
      <c r="L78" s="123"/>
      <c r="M78" s="123"/>
      <c r="N78" s="123"/>
      <c r="O78" s="123"/>
      <c r="P78" s="123"/>
    </row>
    <row r="79" spans="1:16" x14ac:dyDescent="0.25">
      <c r="C79" s="43" t="s">
        <v>167</v>
      </c>
      <c r="D79" s="141">
        <v>1</v>
      </c>
      <c r="E79" s="141">
        <v>1</v>
      </c>
      <c r="F79" s="141">
        <v>1</v>
      </c>
      <c r="G79" s="141">
        <v>1</v>
      </c>
      <c r="H79" s="123">
        <v>1</v>
      </c>
      <c r="I79" s="123"/>
      <c r="J79" s="123"/>
      <c r="K79" s="123"/>
      <c r="L79" s="123"/>
      <c r="M79" s="123"/>
      <c r="N79" s="123"/>
      <c r="O79" s="123"/>
      <c r="P79" s="123"/>
    </row>
    <row r="80" spans="1:16" x14ac:dyDescent="0.25">
      <c r="C80" s="43" t="s">
        <v>168</v>
      </c>
      <c r="D80" s="141">
        <v>1</v>
      </c>
      <c r="E80" s="141">
        <v>1</v>
      </c>
      <c r="F80" s="141">
        <v>1</v>
      </c>
      <c r="G80" s="141">
        <v>1</v>
      </c>
      <c r="H80" s="123">
        <v>1</v>
      </c>
      <c r="I80" s="123"/>
      <c r="J80" s="123"/>
      <c r="K80" s="123"/>
      <c r="L80" s="123"/>
      <c r="M80" s="123"/>
      <c r="N80" s="123"/>
      <c r="O80" s="123"/>
      <c r="P80" s="123"/>
    </row>
    <row r="81" spans="2:16" x14ac:dyDescent="0.25">
      <c r="C81" s="43" t="s">
        <v>169</v>
      </c>
      <c r="D81" s="141">
        <v>1</v>
      </c>
      <c r="E81" s="141">
        <v>1</v>
      </c>
      <c r="F81" s="141">
        <v>1</v>
      </c>
      <c r="G81" s="141">
        <v>1</v>
      </c>
      <c r="H81" s="123">
        <v>1</v>
      </c>
      <c r="I81" s="123"/>
      <c r="J81" s="123"/>
      <c r="K81" s="123"/>
      <c r="L81" s="123"/>
      <c r="M81" s="123"/>
      <c r="N81" s="123"/>
      <c r="O81" s="123"/>
      <c r="P81" s="123"/>
    </row>
    <row r="82" spans="2:16" x14ac:dyDescent="0.25">
      <c r="B82" s="35" t="s">
        <v>71</v>
      </c>
      <c r="C82" s="43" t="s">
        <v>166</v>
      </c>
      <c r="D82" s="140">
        <v>1</v>
      </c>
      <c r="E82" s="140">
        <v>1</v>
      </c>
      <c r="F82" s="140">
        <v>1</v>
      </c>
      <c r="G82" s="140">
        <v>1</v>
      </c>
      <c r="H82" s="123">
        <v>1</v>
      </c>
      <c r="I82" s="123"/>
      <c r="J82" s="123"/>
      <c r="K82" s="123"/>
      <c r="L82" s="123"/>
      <c r="M82" s="123"/>
      <c r="N82" s="123"/>
      <c r="O82" s="123"/>
      <c r="P82" s="123"/>
    </row>
    <row r="83" spans="2:16" x14ac:dyDescent="0.25">
      <c r="C83" s="43" t="s">
        <v>167</v>
      </c>
      <c r="D83" s="141">
        <v>1</v>
      </c>
      <c r="E83" s="141">
        <v>2.2799999999999998</v>
      </c>
      <c r="F83" s="141">
        <v>1</v>
      </c>
      <c r="G83" s="141">
        <v>1</v>
      </c>
      <c r="H83" s="123">
        <v>1</v>
      </c>
      <c r="I83" s="123"/>
      <c r="J83" s="123"/>
      <c r="K83" s="123"/>
      <c r="L83" s="123"/>
      <c r="M83" s="123"/>
      <c r="N83" s="123"/>
      <c r="O83" s="123"/>
      <c r="P83" s="123"/>
    </row>
    <row r="84" spans="2:16" x14ac:dyDescent="0.25">
      <c r="C84" s="43" t="s">
        <v>168</v>
      </c>
      <c r="D84" s="141">
        <v>1</v>
      </c>
      <c r="E84" s="141">
        <v>4.62</v>
      </c>
      <c r="F84" s="141">
        <v>1</v>
      </c>
      <c r="G84" s="141">
        <v>1</v>
      </c>
      <c r="H84" s="123">
        <v>1</v>
      </c>
      <c r="I84" s="123"/>
      <c r="J84" s="123"/>
      <c r="K84" s="123"/>
      <c r="L84" s="123"/>
      <c r="M84" s="123"/>
      <c r="N84" s="123"/>
      <c r="O84" s="123"/>
      <c r="P84" s="123"/>
    </row>
    <row r="85" spans="2:16" x14ac:dyDescent="0.25">
      <c r="C85" s="43" t="s">
        <v>169</v>
      </c>
      <c r="D85" s="141">
        <v>1</v>
      </c>
      <c r="E85" s="141">
        <v>10.53</v>
      </c>
      <c r="F85" s="141">
        <v>1.47</v>
      </c>
      <c r="G85" s="141">
        <v>2.57</v>
      </c>
      <c r="H85" s="123">
        <v>1</v>
      </c>
      <c r="I85" s="123"/>
      <c r="J85" s="123"/>
      <c r="K85" s="123"/>
      <c r="L85" s="123"/>
      <c r="M85" s="123"/>
      <c r="N85" s="123"/>
      <c r="O85" s="123"/>
      <c r="P85" s="123"/>
    </row>
    <row r="86" spans="2:16" x14ac:dyDescent="0.25">
      <c r="B86" s="35" t="s">
        <v>16</v>
      </c>
      <c r="C86" s="43" t="s">
        <v>166</v>
      </c>
      <c r="D86" s="140">
        <v>1</v>
      </c>
      <c r="E86" s="140">
        <v>1</v>
      </c>
      <c r="F86" s="140">
        <v>1</v>
      </c>
      <c r="G86" s="140">
        <v>1</v>
      </c>
      <c r="H86" s="123">
        <v>1</v>
      </c>
      <c r="I86" s="123"/>
      <c r="J86" s="123"/>
      <c r="K86" s="123"/>
      <c r="L86" s="123"/>
      <c r="M86" s="123"/>
      <c r="N86" s="123"/>
      <c r="O86" s="123"/>
      <c r="P86" s="123"/>
    </row>
    <row r="87" spans="2:16" x14ac:dyDescent="0.25">
      <c r="C87" s="43" t="s">
        <v>167</v>
      </c>
      <c r="D87" s="141">
        <v>1</v>
      </c>
      <c r="E87" s="141">
        <v>1.66</v>
      </c>
      <c r="F87" s="141">
        <v>1</v>
      </c>
      <c r="G87" s="141">
        <v>1</v>
      </c>
      <c r="H87" s="123">
        <v>1</v>
      </c>
      <c r="I87" s="123"/>
      <c r="J87" s="123"/>
      <c r="K87" s="123"/>
      <c r="L87" s="123"/>
      <c r="M87" s="123"/>
      <c r="N87" s="123"/>
      <c r="O87" s="123"/>
      <c r="P87" s="123"/>
    </row>
    <row r="88" spans="2:16" x14ac:dyDescent="0.25">
      <c r="C88" s="43" t="s">
        <v>168</v>
      </c>
      <c r="D88" s="141">
        <v>1</v>
      </c>
      <c r="E88" s="141">
        <v>2.5</v>
      </c>
      <c r="F88" s="141">
        <v>1</v>
      </c>
      <c r="G88" s="141">
        <v>1</v>
      </c>
      <c r="H88" s="123">
        <v>1</v>
      </c>
      <c r="I88" s="123"/>
      <c r="J88" s="123"/>
      <c r="K88" s="123"/>
      <c r="L88" s="123"/>
      <c r="M88" s="123"/>
      <c r="N88" s="123"/>
      <c r="O88" s="123"/>
      <c r="P88" s="123"/>
    </row>
    <row r="89" spans="2:16" x14ac:dyDescent="0.25">
      <c r="C89" s="43" t="s">
        <v>169</v>
      </c>
      <c r="D89" s="141">
        <v>1</v>
      </c>
      <c r="E89" s="141">
        <v>14.97</v>
      </c>
      <c r="F89" s="141">
        <v>1.92</v>
      </c>
      <c r="G89" s="141">
        <v>1.92</v>
      </c>
      <c r="H89" s="123">
        <v>1</v>
      </c>
      <c r="I89" s="123"/>
      <c r="J89" s="123"/>
      <c r="K89" s="123"/>
      <c r="L89" s="123"/>
      <c r="M89" s="123"/>
      <c r="N89" s="123"/>
      <c r="O89" s="123"/>
      <c r="P89" s="123"/>
    </row>
    <row r="90" spans="2:16" x14ac:dyDescent="0.25">
      <c r="B90" s="35" t="s">
        <v>18</v>
      </c>
      <c r="C90" s="43" t="s">
        <v>166</v>
      </c>
      <c r="D90" s="140">
        <v>1</v>
      </c>
      <c r="E90" s="140">
        <v>1</v>
      </c>
      <c r="F90" s="140">
        <v>1</v>
      </c>
      <c r="G90" s="140">
        <v>1</v>
      </c>
      <c r="H90" s="123">
        <v>1</v>
      </c>
      <c r="I90" s="123"/>
      <c r="J90" s="123"/>
      <c r="K90" s="123"/>
      <c r="L90" s="123"/>
      <c r="M90" s="123"/>
      <c r="N90" s="123"/>
      <c r="O90" s="123"/>
      <c r="P90" s="123"/>
    </row>
    <row r="91" spans="2:16" x14ac:dyDescent="0.25">
      <c r="C91" s="43" t="s">
        <v>167</v>
      </c>
      <c r="D91" s="141">
        <v>1</v>
      </c>
      <c r="E91" s="141">
        <v>1.48</v>
      </c>
      <c r="F91" s="141">
        <v>1</v>
      </c>
      <c r="G91" s="141">
        <v>1</v>
      </c>
      <c r="H91" s="123">
        <v>1</v>
      </c>
      <c r="I91" s="123"/>
      <c r="J91" s="123"/>
      <c r="K91" s="123"/>
      <c r="L91" s="123"/>
      <c r="M91" s="123"/>
      <c r="N91" s="123"/>
      <c r="O91" s="123"/>
      <c r="P91" s="123"/>
    </row>
    <row r="92" spans="2:16" x14ac:dyDescent="0.25">
      <c r="C92" s="43" t="s">
        <v>168</v>
      </c>
      <c r="D92" s="141">
        <v>1</v>
      </c>
      <c r="E92" s="141">
        <v>2.84</v>
      </c>
      <c r="F92" s="141">
        <v>1</v>
      </c>
      <c r="G92" s="141">
        <v>1</v>
      </c>
      <c r="H92" s="123">
        <v>1</v>
      </c>
      <c r="I92" s="123"/>
      <c r="J92" s="123"/>
      <c r="K92" s="123"/>
      <c r="L92" s="123"/>
      <c r="M92" s="123"/>
      <c r="N92" s="123"/>
      <c r="O92" s="123"/>
      <c r="P92" s="123"/>
    </row>
    <row r="93" spans="2:16" x14ac:dyDescent="0.25">
      <c r="C93" s="43" t="s">
        <v>169</v>
      </c>
      <c r="D93" s="141">
        <v>1</v>
      </c>
      <c r="E93" s="141">
        <v>14.4</v>
      </c>
      <c r="F93" s="141">
        <v>3.69</v>
      </c>
      <c r="G93" s="141">
        <v>3.69</v>
      </c>
      <c r="H93" s="123">
        <v>1</v>
      </c>
      <c r="I93" s="123"/>
      <c r="J93" s="123"/>
      <c r="K93" s="123"/>
      <c r="L93" s="123"/>
      <c r="M93" s="123"/>
      <c r="N93" s="123"/>
      <c r="O93" s="123"/>
      <c r="P93" s="123"/>
    </row>
    <row r="94" spans="2:16" x14ac:dyDescent="0.25">
      <c r="B94" s="35" t="s">
        <v>17</v>
      </c>
      <c r="C94" s="43" t="s">
        <v>166</v>
      </c>
      <c r="D94" s="140">
        <v>1</v>
      </c>
      <c r="E94" s="140">
        <v>1</v>
      </c>
      <c r="F94" s="140">
        <v>1</v>
      </c>
      <c r="G94" s="140">
        <v>1</v>
      </c>
      <c r="H94" s="123">
        <v>1</v>
      </c>
      <c r="I94" s="123"/>
      <c r="J94" s="123"/>
      <c r="K94" s="123"/>
      <c r="L94" s="123"/>
      <c r="M94" s="123"/>
      <c r="N94" s="123"/>
      <c r="O94" s="123"/>
      <c r="P94" s="123"/>
    </row>
    <row r="95" spans="2:16" x14ac:dyDescent="0.25">
      <c r="C95" s="43" t="s">
        <v>167</v>
      </c>
      <c r="D95" s="141">
        <v>1</v>
      </c>
      <c r="E95" s="141">
        <v>1.48</v>
      </c>
      <c r="F95" s="141">
        <v>1</v>
      </c>
      <c r="G95" s="141">
        <v>1</v>
      </c>
      <c r="H95" s="123">
        <v>1</v>
      </c>
      <c r="I95" s="123"/>
      <c r="J95" s="123"/>
      <c r="K95" s="123"/>
      <c r="L95" s="123"/>
      <c r="M95" s="123"/>
      <c r="N95" s="123"/>
      <c r="O95" s="123"/>
      <c r="P95" s="123"/>
    </row>
    <row r="96" spans="2:16" x14ac:dyDescent="0.25">
      <c r="C96" s="43" t="s">
        <v>168</v>
      </c>
      <c r="D96" s="141">
        <v>1</v>
      </c>
      <c r="E96" s="141">
        <v>2.84</v>
      </c>
      <c r="F96" s="141">
        <v>1</v>
      </c>
      <c r="G96" s="141">
        <v>1</v>
      </c>
      <c r="H96" s="123">
        <v>1</v>
      </c>
      <c r="I96" s="123"/>
      <c r="J96" s="123"/>
      <c r="K96" s="123"/>
      <c r="L96" s="123"/>
      <c r="M96" s="123"/>
      <c r="N96" s="123"/>
      <c r="O96" s="123"/>
      <c r="P96" s="123"/>
    </row>
    <row r="97" spans="1:16" x14ac:dyDescent="0.25">
      <c r="C97" s="43" t="s">
        <v>169</v>
      </c>
      <c r="D97" s="141">
        <v>1</v>
      </c>
      <c r="E97" s="141">
        <v>14.4</v>
      </c>
      <c r="F97" s="141">
        <v>3.69</v>
      </c>
      <c r="G97" s="141">
        <v>3.69</v>
      </c>
      <c r="H97" s="123">
        <v>1</v>
      </c>
      <c r="I97" s="123"/>
      <c r="J97" s="123"/>
      <c r="K97" s="123"/>
      <c r="L97" s="123"/>
      <c r="M97" s="123"/>
      <c r="N97" s="123"/>
      <c r="O97" s="123"/>
      <c r="P97" s="123"/>
    </row>
    <row r="98" spans="1:16" x14ac:dyDescent="0.25">
      <c r="B98" s="35" t="s">
        <v>20</v>
      </c>
      <c r="C98" s="43" t="s">
        <v>166</v>
      </c>
      <c r="D98" s="140">
        <v>1</v>
      </c>
      <c r="E98" s="140">
        <v>1</v>
      </c>
      <c r="F98" s="140">
        <v>1</v>
      </c>
      <c r="G98" s="140">
        <v>1</v>
      </c>
      <c r="H98" s="123">
        <v>1</v>
      </c>
      <c r="I98" s="123"/>
      <c r="J98" s="123"/>
      <c r="K98" s="123"/>
      <c r="L98" s="123"/>
      <c r="M98" s="123"/>
      <c r="N98" s="123"/>
      <c r="O98" s="123"/>
      <c r="P98" s="123"/>
    </row>
    <row r="99" spans="1:16" x14ac:dyDescent="0.25">
      <c r="C99" s="43" t="s">
        <v>167</v>
      </c>
      <c r="D99" s="141">
        <v>1</v>
      </c>
      <c r="E99" s="141">
        <v>1.48</v>
      </c>
      <c r="F99" s="141">
        <v>1</v>
      </c>
      <c r="G99" s="141">
        <v>1</v>
      </c>
      <c r="H99" s="123">
        <v>1</v>
      </c>
      <c r="I99" s="123"/>
      <c r="J99" s="123"/>
      <c r="K99" s="123"/>
      <c r="L99" s="123"/>
      <c r="M99" s="123"/>
      <c r="N99" s="123"/>
      <c r="O99" s="123"/>
      <c r="P99" s="123"/>
    </row>
    <row r="100" spans="1:16" x14ac:dyDescent="0.25">
      <c r="C100" s="43" t="s">
        <v>168</v>
      </c>
      <c r="D100" s="141">
        <v>1</v>
      </c>
      <c r="E100" s="141">
        <v>2.84</v>
      </c>
      <c r="F100" s="141">
        <v>1</v>
      </c>
      <c r="G100" s="141">
        <v>1</v>
      </c>
      <c r="H100" s="123">
        <v>1</v>
      </c>
      <c r="I100" s="123"/>
      <c r="J100" s="123"/>
      <c r="K100" s="123"/>
      <c r="L100" s="123"/>
      <c r="M100" s="123"/>
      <c r="N100" s="123"/>
      <c r="O100" s="123"/>
      <c r="P100" s="123"/>
    </row>
    <row r="101" spans="1:16" x14ac:dyDescent="0.25">
      <c r="C101" s="43" t="s">
        <v>169</v>
      </c>
      <c r="D101" s="141">
        <v>1</v>
      </c>
      <c r="E101" s="141">
        <v>14.4</v>
      </c>
      <c r="F101" s="141">
        <v>3.69</v>
      </c>
      <c r="G101" s="141">
        <v>3.69</v>
      </c>
      <c r="H101" s="123">
        <v>1</v>
      </c>
      <c r="I101" s="123"/>
      <c r="J101" s="123"/>
      <c r="K101" s="123"/>
      <c r="L101" s="123"/>
      <c r="M101" s="123"/>
      <c r="N101" s="123"/>
      <c r="O101" s="123"/>
      <c r="P101" s="123"/>
    </row>
    <row r="103" spans="1:16" s="105" customFormat="1" ht="13" x14ac:dyDescent="0.3">
      <c r="A103" s="104" t="s">
        <v>248</v>
      </c>
    </row>
    <row r="104" spans="1:16" s="36" customFormat="1" ht="26" x14ac:dyDescent="0.3">
      <c r="A104" s="126" t="s">
        <v>71</v>
      </c>
      <c r="B104" s="131" t="s">
        <v>169</v>
      </c>
      <c r="C104" s="128" t="s">
        <v>247</v>
      </c>
      <c r="D104" s="108" t="s">
        <v>1</v>
      </c>
      <c r="E104" s="108" t="s">
        <v>2</v>
      </c>
      <c r="F104" s="108" t="s">
        <v>3</v>
      </c>
      <c r="G104" s="108" t="s">
        <v>4</v>
      </c>
      <c r="H104" s="129" t="s">
        <v>5</v>
      </c>
      <c r="I104" s="125"/>
      <c r="J104" s="125"/>
      <c r="K104" s="125"/>
      <c r="L104" s="125"/>
      <c r="M104" s="125"/>
      <c r="N104" s="125"/>
      <c r="O104" s="125"/>
      <c r="P104" s="125"/>
    </row>
    <row r="105" spans="1:16" ht="13" x14ac:dyDescent="0.3">
      <c r="A105" s="40"/>
      <c r="B105" s="36"/>
      <c r="C105" s="43" t="s">
        <v>166</v>
      </c>
      <c r="D105" s="140">
        <v>1</v>
      </c>
      <c r="E105" s="140">
        <v>1</v>
      </c>
      <c r="F105" s="140">
        <v>1</v>
      </c>
      <c r="G105" s="140">
        <v>1</v>
      </c>
      <c r="H105" s="123">
        <v>1</v>
      </c>
      <c r="I105" s="123"/>
      <c r="J105" s="123"/>
      <c r="K105" s="123"/>
      <c r="L105" s="123"/>
      <c r="M105" s="123"/>
      <c r="N105" s="123"/>
      <c r="O105" s="123"/>
      <c r="P105" s="123"/>
    </row>
    <row r="106" spans="1:16" x14ac:dyDescent="0.25">
      <c r="C106" s="43" t="s">
        <v>167</v>
      </c>
      <c r="D106" s="141">
        <v>1.26</v>
      </c>
      <c r="E106" s="141">
        <v>1.26</v>
      </c>
      <c r="F106" s="141">
        <v>1</v>
      </c>
      <c r="G106" s="141">
        <v>1</v>
      </c>
      <c r="H106" s="123">
        <v>1</v>
      </c>
      <c r="I106" s="123"/>
      <c r="J106" s="123"/>
      <c r="K106" s="123"/>
      <c r="L106" s="123"/>
      <c r="M106" s="123"/>
      <c r="N106" s="123"/>
      <c r="O106" s="123"/>
      <c r="P106" s="123"/>
    </row>
    <row r="107" spans="1:16" x14ac:dyDescent="0.25">
      <c r="C107" s="43" t="s">
        <v>168</v>
      </c>
      <c r="D107" s="141">
        <v>1.68</v>
      </c>
      <c r="E107" s="141">
        <v>1.68</v>
      </c>
      <c r="F107" s="141">
        <v>1</v>
      </c>
      <c r="G107" s="141">
        <v>1</v>
      </c>
      <c r="H107" s="123">
        <v>1</v>
      </c>
      <c r="I107" s="123"/>
      <c r="J107" s="123"/>
      <c r="K107" s="123"/>
      <c r="L107" s="123"/>
      <c r="M107" s="123"/>
      <c r="N107" s="123"/>
      <c r="O107" s="123"/>
      <c r="P107" s="123"/>
    </row>
    <row r="108" spans="1:16" x14ac:dyDescent="0.25">
      <c r="C108" s="43" t="s">
        <v>169</v>
      </c>
      <c r="D108" s="141">
        <v>2.65</v>
      </c>
      <c r="E108" s="141">
        <v>2.65</v>
      </c>
      <c r="F108" s="141">
        <v>2.0699999999999998</v>
      </c>
      <c r="G108" s="141">
        <v>2.0699999999999998</v>
      </c>
      <c r="H108" s="123">
        <v>1</v>
      </c>
      <c r="I108" s="123"/>
      <c r="J108" s="123"/>
      <c r="K108" s="123"/>
      <c r="L108" s="123"/>
      <c r="M108" s="123"/>
      <c r="N108" s="123"/>
      <c r="O108" s="123"/>
      <c r="P108" s="123"/>
    </row>
    <row r="111" spans="1:16" ht="13" x14ac:dyDescent="0.3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D3" sqref="D3"/>
    </sheetView>
  </sheetViews>
  <sheetFormatPr defaultColWidth="12.7265625" defaultRowHeight="12.5" x14ac:dyDescent="0.25"/>
  <cols>
    <col min="1" max="1" width="25.7265625" style="35" customWidth="1"/>
    <col min="2" max="2" width="44.453125" style="35" customWidth="1"/>
    <col min="3" max="3" width="17.7265625" style="35" customWidth="1"/>
    <col min="4" max="4" width="17.54296875" style="35" customWidth="1"/>
    <col min="5" max="5" width="17.26953125" style="35" customWidth="1"/>
    <col min="6" max="6" width="15" style="35" customWidth="1"/>
    <col min="7" max="7" width="13.7265625" style="35" customWidth="1"/>
    <col min="8" max="16384" width="12.7265625" style="35"/>
  </cols>
  <sheetData>
    <row r="1" spans="1:7" s="105" customFormat="1" ht="14.25" customHeight="1" x14ac:dyDescent="0.3">
      <c r="A1" s="104" t="s">
        <v>249</v>
      </c>
    </row>
    <row r="2" spans="1:7" ht="14.25" customHeight="1" x14ac:dyDescent="0.3">
      <c r="A2" s="130" t="s">
        <v>25</v>
      </c>
      <c r="B2" s="124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8" t="s">
        <v>250</v>
      </c>
      <c r="C3" s="141" t="s">
        <v>251</v>
      </c>
      <c r="D3" s="141">
        <v>45</v>
      </c>
      <c r="E3" s="141">
        <v>361.6</v>
      </c>
      <c r="F3" s="141">
        <v>174.7</v>
      </c>
      <c r="G3" s="141">
        <v>174.7</v>
      </c>
    </row>
    <row r="4" spans="1:7" ht="14.25" customHeight="1" x14ac:dyDescent="0.3">
      <c r="A4" s="40"/>
      <c r="B4" s="122" t="s">
        <v>252</v>
      </c>
      <c r="C4" s="141">
        <v>1.0249999999999999</v>
      </c>
      <c r="D4" s="141">
        <v>1.0249999999999999</v>
      </c>
      <c r="E4" s="141">
        <v>1.0249999999999999</v>
      </c>
      <c r="F4" s="141">
        <v>1.0249999999999999</v>
      </c>
      <c r="G4" s="141">
        <v>1.0249999999999999</v>
      </c>
    </row>
    <row r="5" spans="1:7" ht="14.25" customHeight="1" x14ac:dyDescent="0.3">
      <c r="A5" s="109" t="s">
        <v>253</v>
      </c>
    </row>
    <row r="6" spans="1:7" ht="14.25" customHeight="1" x14ac:dyDescent="0.25">
      <c r="B6" s="122" t="s">
        <v>58</v>
      </c>
      <c r="C6" s="141">
        <v>1</v>
      </c>
      <c r="D6" s="141">
        <v>1</v>
      </c>
      <c r="E6" s="141">
        <v>0.89</v>
      </c>
      <c r="F6" s="141">
        <v>0.89</v>
      </c>
      <c r="G6" s="141">
        <v>1</v>
      </c>
    </row>
    <row r="7" spans="1:7" ht="14.25" customHeight="1" x14ac:dyDescent="0.25">
      <c r="B7" s="122" t="s">
        <v>136</v>
      </c>
      <c r="C7" s="141">
        <v>1</v>
      </c>
      <c r="D7" s="141">
        <v>1</v>
      </c>
      <c r="E7" s="141">
        <v>0.89</v>
      </c>
      <c r="F7" s="141">
        <v>0.89</v>
      </c>
      <c r="G7" s="141">
        <v>1</v>
      </c>
    </row>
    <row r="8" spans="1:7" ht="14.25" customHeight="1" x14ac:dyDescent="0.25">
      <c r="B8" s="122" t="s">
        <v>60</v>
      </c>
      <c r="C8" s="141">
        <v>1</v>
      </c>
      <c r="D8" s="141">
        <v>1</v>
      </c>
      <c r="E8" s="141">
        <v>1</v>
      </c>
      <c r="F8" s="141">
        <v>1</v>
      </c>
      <c r="G8" s="141">
        <v>1</v>
      </c>
    </row>
    <row r="9" spans="1:7" ht="14.25" customHeight="1" x14ac:dyDescent="0.25">
      <c r="B9" s="122"/>
      <c r="C9" s="122"/>
      <c r="D9" s="122"/>
      <c r="E9" s="122"/>
      <c r="F9" s="122"/>
      <c r="G9" s="122"/>
    </row>
    <row r="10" spans="1:7" s="105" customFormat="1" ht="14.25" customHeight="1" x14ac:dyDescent="0.3">
      <c r="A10" s="104" t="s">
        <v>254</v>
      </c>
    </row>
    <row r="11" spans="1:7" ht="14.25" customHeight="1" x14ac:dyDescent="0.3">
      <c r="A11" s="109"/>
      <c r="B11" s="118" t="s">
        <v>196</v>
      </c>
      <c r="C11" s="141">
        <v>1.5</v>
      </c>
      <c r="D11" s="141">
        <v>1.39</v>
      </c>
      <c r="E11" s="141">
        <v>1</v>
      </c>
      <c r="F11" s="141">
        <v>1</v>
      </c>
      <c r="G11" s="141">
        <v>1</v>
      </c>
    </row>
    <row r="12" spans="1:7" ht="14.25" customHeight="1" x14ac:dyDescent="0.3">
      <c r="A12" s="109"/>
      <c r="B12" s="118"/>
    </row>
    <row r="13" spans="1:7" s="105" customFormat="1" ht="14.25" customHeight="1" x14ac:dyDescent="0.3">
      <c r="A13" s="104" t="s">
        <v>255</v>
      </c>
    </row>
    <row r="14" spans="1:7" ht="14.25" customHeight="1" x14ac:dyDescent="0.3">
      <c r="A14" s="130" t="s">
        <v>240</v>
      </c>
      <c r="B14" s="122" t="s">
        <v>256</v>
      </c>
      <c r="C14" s="141">
        <v>1.0249999999999999</v>
      </c>
      <c r="D14" s="141">
        <v>1.0249999999999999</v>
      </c>
      <c r="E14" s="141">
        <v>1.0249999999999999</v>
      </c>
      <c r="F14" s="141">
        <v>1.0249999999999999</v>
      </c>
      <c r="G14" s="141">
        <v>1.0249999999999999</v>
      </c>
    </row>
    <row r="15" spans="1:7" ht="14.25" customHeight="1" x14ac:dyDescent="0.3">
      <c r="A15" s="40"/>
      <c r="B15" s="122" t="s">
        <v>257</v>
      </c>
      <c r="C15" s="141">
        <v>1.0249999999999999</v>
      </c>
      <c r="D15" s="141">
        <v>1.0249999999999999</v>
      </c>
      <c r="E15" s="141">
        <v>1.0249999999999999</v>
      </c>
      <c r="F15" s="141">
        <v>1.0249999999999999</v>
      </c>
      <c r="G15" s="141">
        <v>1.0249999999999999</v>
      </c>
    </row>
    <row r="16" spans="1:7" ht="14.25" customHeight="1" x14ac:dyDescent="0.3">
      <c r="A16" s="130" t="s">
        <v>70</v>
      </c>
      <c r="B16" s="118" t="s">
        <v>258</v>
      </c>
      <c r="C16" s="141">
        <v>1</v>
      </c>
      <c r="D16" s="141">
        <v>1</v>
      </c>
      <c r="E16" s="141">
        <v>1</v>
      </c>
      <c r="F16" s="141">
        <v>1</v>
      </c>
      <c r="G16" s="141">
        <v>1</v>
      </c>
    </row>
    <row r="17" spans="1:6" ht="14.25" customHeight="1" x14ac:dyDescent="0.25"/>
    <row r="18" spans="1:6" s="105" customFormat="1" ht="14.25" customHeight="1" x14ac:dyDescent="0.3">
      <c r="A18" s="104" t="s">
        <v>259</v>
      </c>
    </row>
    <row r="19" spans="1:6" s="109" customFormat="1" ht="14.25" customHeight="1" x14ac:dyDescent="0.3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8" t="s">
        <v>198</v>
      </c>
      <c r="C20" s="141">
        <v>1.52</v>
      </c>
      <c r="D20" s="141">
        <v>1</v>
      </c>
      <c r="E20" s="141">
        <v>1</v>
      </c>
      <c r="F20" s="14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E6" sqref="C6:E6"/>
    </sheetView>
  </sheetViews>
  <sheetFormatPr defaultColWidth="16.1796875" defaultRowHeight="15.75" customHeight="1" x14ac:dyDescent="0.25"/>
  <cols>
    <col min="1" max="1" width="52.26953125" style="35" customWidth="1"/>
    <col min="2" max="6" width="16.1796875" style="35"/>
    <col min="7" max="7" width="17.26953125" style="35" customWidth="1"/>
    <col min="8" max="8" width="16.1796875" style="35" customWidth="1"/>
    <col min="9" max="16384" width="16.1796875" style="35"/>
  </cols>
  <sheetData>
    <row r="1" spans="1:6" ht="15.75" customHeight="1" x14ac:dyDescent="0.3">
      <c r="A1" s="124" t="s">
        <v>69</v>
      </c>
      <c r="B1" s="40"/>
      <c r="C1" s="40" t="s">
        <v>9</v>
      </c>
      <c r="D1" s="40" t="s">
        <v>12</v>
      </c>
      <c r="E1" s="40" t="s">
        <v>11</v>
      </c>
      <c r="F1" s="124" t="s">
        <v>26</v>
      </c>
    </row>
    <row r="2" spans="1:6" ht="15.75" customHeight="1" x14ac:dyDescent="0.25">
      <c r="A2" s="95" t="s">
        <v>29</v>
      </c>
      <c r="B2" s="95" t="s">
        <v>260</v>
      </c>
      <c r="C2" s="141">
        <v>0.21</v>
      </c>
      <c r="D2" s="141">
        <v>0.21</v>
      </c>
      <c r="E2" s="141">
        <v>0</v>
      </c>
      <c r="F2" s="141">
        <v>0</v>
      </c>
    </row>
    <row r="3" spans="1:6" ht="15.75" customHeight="1" x14ac:dyDescent="0.25">
      <c r="A3" s="95"/>
      <c r="B3" s="95" t="s">
        <v>261</v>
      </c>
      <c r="C3" s="141">
        <v>1</v>
      </c>
      <c r="D3" s="141">
        <v>1</v>
      </c>
      <c r="E3" s="141">
        <v>1</v>
      </c>
      <c r="F3" s="141">
        <v>1</v>
      </c>
    </row>
    <row r="4" spans="1:6" ht="15.75" customHeight="1" x14ac:dyDescent="0.25">
      <c r="A4" s="95" t="s">
        <v>187</v>
      </c>
      <c r="B4" s="95" t="s">
        <v>260</v>
      </c>
      <c r="C4" s="141">
        <v>0</v>
      </c>
      <c r="D4" s="141">
        <v>0</v>
      </c>
      <c r="E4" s="141">
        <v>0</v>
      </c>
      <c r="F4" s="141">
        <v>0</v>
      </c>
    </row>
    <row r="5" spans="1:6" ht="15.75" customHeight="1" x14ac:dyDescent="0.25">
      <c r="A5" s="95"/>
      <c r="B5" s="95" t="s">
        <v>261</v>
      </c>
      <c r="C5" s="141">
        <v>1</v>
      </c>
      <c r="D5" s="141">
        <v>1</v>
      </c>
      <c r="E5" s="141">
        <v>1</v>
      </c>
      <c r="F5" s="141">
        <v>1</v>
      </c>
    </row>
    <row r="6" spans="1:6" ht="15.75" customHeight="1" x14ac:dyDescent="0.25">
      <c r="A6" s="95" t="s">
        <v>209</v>
      </c>
      <c r="B6" s="95" t="s">
        <v>260</v>
      </c>
      <c r="C6" s="141">
        <v>0</v>
      </c>
      <c r="D6" s="141">
        <v>0</v>
      </c>
      <c r="E6" s="141">
        <v>0</v>
      </c>
      <c r="F6" s="141">
        <v>0</v>
      </c>
    </row>
    <row r="7" spans="1:6" ht="15.75" customHeight="1" x14ac:dyDescent="0.25">
      <c r="A7" s="95"/>
      <c r="B7" s="95" t="s">
        <v>261</v>
      </c>
      <c r="C7" s="141">
        <v>1</v>
      </c>
      <c r="D7" s="141">
        <v>1</v>
      </c>
      <c r="E7" s="141">
        <v>1</v>
      </c>
      <c r="F7" s="141">
        <v>1</v>
      </c>
    </row>
    <row r="8" spans="1:6" ht="15.75" customHeight="1" x14ac:dyDescent="0.25">
      <c r="A8" s="95" t="s">
        <v>57</v>
      </c>
      <c r="B8" s="95" t="s">
        <v>260</v>
      </c>
      <c r="C8" s="141">
        <v>0.35</v>
      </c>
      <c r="D8" s="141">
        <v>0.35</v>
      </c>
      <c r="E8" s="141">
        <v>0</v>
      </c>
      <c r="F8" s="141">
        <v>0</v>
      </c>
    </row>
    <row r="9" spans="1:6" ht="15.75" customHeight="1" x14ac:dyDescent="0.25">
      <c r="A9" s="95"/>
      <c r="B9" s="95" t="s">
        <v>261</v>
      </c>
      <c r="C9" s="141">
        <v>1</v>
      </c>
      <c r="D9" s="141">
        <v>1</v>
      </c>
      <c r="E9" s="141">
        <v>0</v>
      </c>
      <c r="F9" s="141">
        <v>0</v>
      </c>
    </row>
    <row r="10" spans="1:6" ht="15.75" customHeight="1" x14ac:dyDescent="0.25">
      <c r="A10" s="95" t="s">
        <v>34</v>
      </c>
      <c r="B10" s="95" t="s">
        <v>260</v>
      </c>
      <c r="C10" s="141">
        <v>0.35</v>
      </c>
      <c r="D10" s="141">
        <v>0.35</v>
      </c>
      <c r="E10" s="141">
        <v>0</v>
      </c>
      <c r="F10" s="141">
        <v>0</v>
      </c>
    </row>
    <row r="11" spans="1:6" ht="15.75" customHeight="1" x14ac:dyDescent="0.25">
      <c r="A11" s="95"/>
      <c r="B11" s="95" t="s">
        <v>261</v>
      </c>
      <c r="C11" s="141">
        <v>1</v>
      </c>
      <c r="D11" s="141">
        <v>1</v>
      </c>
      <c r="E11" s="141">
        <v>0</v>
      </c>
      <c r="F11" s="141">
        <v>0</v>
      </c>
    </row>
    <row r="12" spans="1:6" ht="15.75" customHeight="1" x14ac:dyDescent="0.25">
      <c r="A12" s="95" t="s">
        <v>59</v>
      </c>
      <c r="B12" s="95" t="s">
        <v>260</v>
      </c>
      <c r="C12" s="141">
        <v>0.08</v>
      </c>
      <c r="D12" s="141">
        <v>0.08</v>
      </c>
      <c r="E12" s="141">
        <v>0</v>
      </c>
      <c r="F12" s="141">
        <v>0</v>
      </c>
    </row>
    <row r="13" spans="1:6" ht="15.75" customHeight="1" x14ac:dyDescent="0.25">
      <c r="A13" s="95"/>
      <c r="B13" s="95" t="s">
        <v>261</v>
      </c>
      <c r="C13" s="141">
        <v>1</v>
      </c>
      <c r="D13" s="141">
        <v>1</v>
      </c>
      <c r="E13" s="141">
        <v>1</v>
      </c>
      <c r="F13" s="141">
        <v>1</v>
      </c>
    </row>
    <row r="19" spans="1:1" ht="15.75" customHeight="1" x14ac:dyDescent="0.25">
      <c r="A19" s="95"/>
    </row>
    <row r="20" spans="1:1" ht="15.75" customHeight="1" x14ac:dyDescent="0.25">
      <c r="A20" s="95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H1" workbookViewId="0">
      <selection activeCell="E19" sqref="E19:O20"/>
    </sheetView>
  </sheetViews>
  <sheetFormatPr defaultColWidth="12.7265625" defaultRowHeight="12.5" x14ac:dyDescent="0.25"/>
  <cols>
    <col min="1" max="1" width="22.54296875" style="35" customWidth="1"/>
    <col min="2" max="2" width="58.81640625" style="35" bestFit="1" customWidth="1"/>
    <col min="3" max="15" width="15" style="35" customWidth="1"/>
    <col min="16" max="16384" width="12.7265625" style="35"/>
  </cols>
  <sheetData>
    <row r="1" spans="1:15" ht="35.25" customHeight="1" x14ac:dyDescent="0.3">
      <c r="A1" s="40"/>
      <c r="B1" s="40"/>
      <c r="C1" s="108" t="s">
        <v>1</v>
      </c>
      <c r="D1" s="108" t="s">
        <v>2</v>
      </c>
      <c r="E1" s="108" t="s">
        <v>3</v>
      </c>
      <c r="F1" s="108" t="s">
        <v>4</v>
      </c>
      <c r="G1" s="108" t="s">
        <v>5</v>
      </c>
      <c r="H1" s="108" t="s">
        <v>49</v>
      </c>
      <c r="I1" s="108" t="s">
        <v>50</v>
      </c>
      <c r="J1" s="108" t="s">
        <v>51</v>
      </c>
      <c r="K1" s="108" t="s">
        <v>52</v>
      </c>
      <c r="L1" s="108" t="s">
        <v>53</v>
      </c>
      <c r="M1" s="108" t="s">
        <v>54</v>
      </c>
      <c r="N1" s="108" t="s">
        <v>55</v>
      </c>
      <c r="O1" s="108" t="s">
        <v>56</v>
      </c>
    </row>
    <row r="2" spans="1:15" ht="13" x14ac:dyDescent="0.3">
      <c r="A2" s="40" t="s">
        <v>262</v>
      </c>
    </row>
    <row r="3" spans="1:15" x14ac:dyDescent="0.25">
      <c r="B3" s="63" t="s">
        <v>149</v>
      </c>
      <c r="C3" s="141">
        <v>0.53</v>
      </c>
      <c r="D3" s="141">
        <v>0.53</v>
      </c>
      <c r="E3" s="141">
        <v>1</v>
      </c>
      <c r="F3" s="141">
        <v>1</v>
      </c>
      <c r="G3" s="141">
        <v>1</v>
      </c>
      <c r="H3" s="141">
        <v>1</v>
      </c>
      <c r="I3" s="141">
        <v>1</v>
      </c>
      <c r="J3" s="141">
        <v>1</v>
      </c>
      <c r="K3" s="141">
        <v>1</v>
      </c>
      <c r="L3" s="141">
        <v>1</v>
      </c>
      <c r="M3" s="141">
        <v>1</v>
      </c>
      <c r="N3" s="141">
        <v>1</v>
      </c>
      <c r="O3" s="141">
        <v>1</v>
      </c>
    </row>
    <row r="4" spans="1:15" x14ac:dyDescent="0.25">
      <c r="B4" s="63" t="s">
        <v>188</v>
      </c>
      <c r="C4" s="141">
        <v>1</v>
      </c>
      <c r="D4" s="141">
        <v>1</v>
      </c>
      <c r="E4" s="141">
        <v>1</v>
      </c>
      <c r="F4" s="141">
        <v>1</v>
      </c>
      <c r="G4" s="141">
        <v>1</v>
      </c>
      <c r="H4" s="141">
        <v>0.73</v>
      </c>
      <c r="I4" s="141">
        <v>0.73</v>
      </c>
      <c r="J4" s="141">
        <v>0.73</v>
      </c>
      <c r="K4" s="141">
        <v>0.73</v>
      </c>
      <c r="L4" s="141">
        <v>1</v>
      </c>
      <c r="M4" s="141">
        <v>1</v>
      </c>
      <c r="N4" s="141">
        <v>1</v>
      </c>
      <c r="O4" s="141">
        <v>1</v>
      </c>
    </row>
    <row r="5" spans="1:15" x14ac:dyDescent="0.25">
      <c r="B5" s="63" t="s">
        <v>208</v>
      </c>
      <c r="C5" s="141">
        <v>1</v>
      </c>
      <c r="D5" s="141">
        <v>1</v>
      </c>
      <c r="E5" s="141">
        <v>1</v>
      </c>
      <c r="F5" s="141">
        <v>1</v>
      </c>
      <c r="G5" s="141">
        <v>1</v>
      </c>
      <c r="H5" s="141">
        <v>0.73</v>
      </c>
      <c r="I5" s="141">
        <v>0.73</v>
      </c>
      <c r="J5" s="141">
        <v>0.73</v>
      </c>
      <c r="K5" s="141">
        <v>0.73</v>
      </c>
      <c r="L5" s="141">
        <v>1</v>
      </c>
      <c r="M5" s="141">
        <v>1</v>
      </c>
      <c r="N5" s="141">
        <v>1</v>
      </c>
      <c r="O5" s="141">
        <v>1</v>
      </c>
    </row>
    <row r="6" spans="1:15" x14ac:dyDescent="0.25">
      <c r="B6" s="63" t="s">
        <v>189</v>
      </c>
      <c r="C6" s="141">
        <v>1</v>
      </c>
      <c r="D6" s="141">
        <v>1</v>
      </c>
      <c r="E6" s="141">
        <v>1</v>
      </c>
      <c r="F6" s="141">
        <v>1</v>
      </c>
      <c r="G6" s="141">
        <v>1</v>
      </c>
      <c r="H6" s="141">
        <v>0.73</v>
      </c>
      <c r="I6" s="141">
        <v>0.73</v>
      </c>
      <c r="J6" s="141">
        <v>0.73</v>
      </c>
      <c r="K6" s="141">
        <v>0.73</v>
      </c>
      <c r="L6" s="141">
        <v>1</v>
      </c>
      <c r="M6" s="141">
        <v>1</v>
      </c>
      <c r="N6" s="141">
        <v>1</v>
      </c>
      <c r="O6" s="141">
        <v>1</v>
      </c>
    </row>
    <row r="7" spans="1:15" x14ac:dyDescent="0.25">
      <c r="B7" s="63" t="s">
        <v>190</v>
      </c>
      <c r="C7" s="141">
        <v>1</v>
      </c>
      <c r="D7" s="141">
        <v>1</v>
      </c>
      <c r="E7" s="141">
        <v>1</v>
      </c>
      <c r="F7" s="141">
        <v>1</v>
      </c>
      <c r="G7" s="141">
        <v>1</v>
      </c>
      <c r="H7" s="141">
        <v>0.73</v>
      </c>
      <c r="I7" s="141">
        <v>0.73</v>
      </c>
      <c r="J7" s="141">
        <v>0.73</v>
      </c>
      <c r="K7" s="141">
        <v>0.73</v>
      </c>
      <c r="L7" s="141">
        <v>1</v>
      </c>
      <c r="M7" s="141">
        <v>1</v>
      </c>
      <c r="N7" s="141">
        <v>1</v>
      </c>
      <c r="O7" s="141">
        <v>1</v>
      </c>
    </row>
    <row r="8" spans="1:15" x14ac:dyDescent="0.25">
      <c r="B8" s="95" t="s">
        <v>187</v>
      </c>
      <c r="C8" s="141">
        <v>1</v>
      </c>
      <c r="D8" s="141">
        <v>1</v>
      </c>
      <c r="E8" s="141">
        <v>1</v>
      </c>
      <c r="F8" s="141">
        <v>1</v>
      </c>
      <c r="G8" s="141">
        <v>1</v>
      </c>
      <c r="H8" s="141">
        <v>1</v>
      </c>
      <c r="I8" s="141">
        <v>1</v>
      </c>
      <c r="J8" s="141">
        <v>1</v>
      </c>
      <c r="K8" s="141">
        <v>1</v>
      </c>
      <c r="L8" s="141">
        <v>0.33</v>
      </c>
      <c r="M8" s="141">
        <v>0.33</v>
      </c>
      <c r="N8" s="141">
        <v>0.33</v>
      </c>
      <c r="O8" s="141">
        <v>0.33</v>
      </c>
    </row>
    <row r="9" spans="1:15" x14ac:dyDescent="0.25">
      <c r="B9" s="95" t="s">
        <v>209</v>
      </c>
      <c r="C9" s="141">
        <v>1</v>
      </c>
      <c r="D9" s="141">
        <v>1</v>
      </c>
      <c r="E9" s="141">
        <v>1</v>
      </c>
      <c r="F9" s="141">
        <v>1</v>
      </c>
      <c r="G9" s="141">
        <v>1</v>
      </c>
      <c r="H9" s="141">
        <v>1</v>
      </c>
      <c r="I9" s="141">
        <v>1</v>
      </c>
      <c r="J9" s="141">
        <v>1</v>
      </c>
      <c r="K9" s="141">
        <v>1</v>
      </c>
      <c r="L9" s="141">
        <v>0.33</v>
      </c>
      <c r="M9" s="141">
        <v>0.33</v>
      </c>
      <c r="N9" s="141">
        <v>0.33</v>
      </c>
      <c r="O9" s="141">
        <v>0.33</v>
      </c>
    </row>
    <row r="10" spans="1:15" x14ac:dyDescent="0.25">
      <c r="B10" s="63" t="s">
        <v>57</v>
      </c>
      <c r="C10" s="141">
        <v>1</v>
      </c>
      <c r="D10" s="141">
        <v>1</v>
      </c>
      <c r="E10" s="141">
        <v>1</v>
      </c>
      <c r="F10" s="141">
        <v>1</v>
      </c>
      <c r="G10" s="141">
        <v>1</v>
      </c>
      <c r="H10" s="141">
        <v>1</v>
      </c>
      <c r="I10" s="141">
        <v>1</v>
      </c>
      <c r="J10" s="141">
        <v>1</v>
      </c>
      <c r="K10" s="141">
        <v>1</v>
      </c>
      <c r="L10" s="141">
        <v>0.83</v>
      </c>
      <c r="M10" s="141">
        <v>0.83</v>
      </c>
      <c r="N10" s="141">
        <v>0.83</v>
      </c>
      <c r="O10" s="141">
        <v>0.83</v>
      </c>
    </row>
    <row r="11" spans="1:15" x14ac:dyDescent="0.25">
      <c r="B11" s="95" t="s">
        <v>136</v>
      </c>
      <c r="C11" s="141">
        <v>1</v>
      </c>
      <c r="D11" s="141">
        <v>1</v>
      </c>
      <c r="E11" s="141">
        <v>0.69</v>
      </c>
      <c r="F11" s="141">
        <v>0.69</v>
      </c>
      <c r="G11" s="141">
        <v>1</v>
      </c>
      <c r="H11" s="141">
        <v>1</v>
      </c>
      <c r="I11" s="141">
        <v>1</v>
      </c>
      <c r="J11" s="141">
        <v>1</v>
      </c>
      <c r="K11" s="141">
        <v>1</v>
      </c>
      <c r="L11" s="141">
        <v>1</v>
      </c>
      <c r="M11" s="141">
        <v>1</v>
      </c>
      <c r="N11" s="141">
        <v>1</v>
      </c>
      <c r="O11" s="141">
        <v>1</v>
      </c>
    </row>
    <row r="12" spans="1:15" x14ac:dyDescent="0.25">
      <c r="B12" s="63" t="s">
        <v>34</v>
      </c>
      <c r="C12" s="141">
        <v>0.83</v>
      </c>
      <c r="D12" s="141">
        <v>0.83</v>
      </c>
      <c r="E12" s="141">
        <v>0.83</v>
      </c>
      <c r="F12" s="141">
        <v>0.83</v>
      </c>
      <c r="G12" s="141">
        <v>0.83</v>
      </c>
      <c r="H12" s="141">
        <v>0.83</v>
      </c>
      <c r="I12" s="141">
        <v>0.83</v>
      </c>
      <c r="J12" s="141">
        <v>0.83</v>
      </c>
      <c r="K12" s="141">
        <v>0.83</v>
      </c>
      <c r="L12" s="141">
        <v>0.83</v>
      </c>
      <c r="M12" s="141">
        <v>0.83</v>
      </c>
      <c r="N12" s="141">
        <v>0.83</v>
      </c>
      <c r="O12" s="141">
        <v>0.83</v>
      </c>
    </row>
    <row r="13" spans="1:15" ht="13.15" customHeight="1" x14ac:dyDescent="0.25">
      <c r="B13" s="63" t="s">
        <v>137</v>
      </c>
      <c r="C13" s="141">
        <v>1</v>
      </c>
      <c r="D13" s="141">
        <v>1</v>
      </c>
      <c r="E13" s="141">
        <v>0.69</v>
      </c>
      <c r="F13" s="141">
        <v>0.69</v>
      </c>
      <c r="G13" s="141">
        <v>0.69</v>
      </c>
      <c r="H13" s="141">
        <v>1</v>
      </c>
      <c r="I13" s="141">
        <v>1</v>
      </c>
      <c r="J13" s="141">
        <v>1</v>
      </c>
      <c r="K13" s="141">
        <v>1</v>
      </c>
      <c r="L13" s="141">
        <v>1</v>
      </c>
      <c r="M13" s="141">
        <v>1</v>
      </c>
      <c r="N13" s="141">
        <v>1</v>
      </c>
      <c r="O13" s="141">
        <v>1</v>
      </c>
    </row>
    <row r="14" spans="1:15" x14ac:dyDescent="0.25">
      <c r="B14" s="63" t="s">
        <v>59</v>
      </c>
      <c r="C14" s="141">
        <v>1</v>
      </c>
      <c r="D14" s="141">
        <v>1</v>
      </c>
      <c r="E14" s="141">
        <v>1</v>
      </c>
      <c r="F14" s="141">
        <v>1</v>
      </c>
      <c r="G14" s="141">
        <v>1</v>
      </c>
      <c r="H14" s="141">
        <v>1</v>
      </c>
      <c r="I14" s="141">
        <v>1</v>
      </c>
      <c r="J14" s="141">
        <v>1</v>
      </c>
      <c r="K14" s="141">
        <v>1</v>
      </c>
      <c r="L14" s="141">
        <v>0.33</v>
      </c>
      <c r="M14" s="141">
        <v>0.33</v>
      </c>
      <c r="N14" s="141">
        <v>0.33</v>
      </c>
      <c r="O14" s="141">
        <v>0.33</v>
      </c>
    </row>
    <row r="16" spans="1:15" ht="13" x14ac:dyDescent="0.3">
      <c r="A16" s="40" t="s">
        <v>263</v>
      </c>
      <c r="B16" s="63"/>
    </row>
    <row r="17" spans="2:15" x14ac:dyDescent="0.25">
      <c r="B17" s="95" t="s">
        <v>63</v>
      </c>
      <c r="C17" s="141">
        <v>1</v>
      </c>
      <c r="D17" s="141">
        <v>1</v>
      </c>
      <c r="E17" s="141">
        <v>0.97599999999999998</v>
      </c>
      <c r="F17" s="141">
        <v>0.97599999999999998</v>
      </c>
      <c r="G17" s="141">
        <v>0.97599999999999998</v>
      </c>
      <c r="H17" s="141">
        <v>0.97599999999999998</v>
      </c>
      <c r="I17" s="141">
        <v>0.97599999999999998</v>
      </c>
      <c r="J17" s="141">
        <v>0.97599999999999998</v>
      </c>
      <c r="K17" s="141">
        <v>0.97599999999999998</v>
      </c>
      <c r="L17" s="141">
        <v>0.97599999999999998</v>
      </c>
      <c r="M17" s="141">
        <v>0.97599999999999998</v>
      </c>
      <c r="N17" s="141">
        <v>0.97599999999999998</v>
      </c>
      <c r="O17" s="141">
        <v>0.97599999999999998</v>
      </c>
    </row>
    <row r="18" spans="2:15" x14ac:dyDescent="0.25">
      <c r="B18" s="95" t="s">
        <v>64</v>
      </c>
      <c r="C18" s="141">
        <v>1</v>
      </c>
      <c r="D18" s="141">
        <v>1</v>
      </c>
      <c r="E18" s="141">
        <v>0.97599999999999998</v>
      </c>
      <c r="F18" s="141">
        <v>0.97599999999999998</v>
      </c>
      <c r="G18" s="141">
        <v>0.97599999999999998</v>
      </c>
      <c r="H18" s="141">
        <v>0.97599999999999998</v>
      </c>
      <c r="I18" s="141">
        <v>0.97599999999999998</v>
      </c>
      <c r="J18" s="141">
        <v>0.97599999999999998</v>
      </c>
      <c r="K18" s="141">
        <v>0.97599999999999998</v>
      </c>
      <c r="L18" s="141">
        <v>0.97599999999999998</v>
      </c>
      <c r="M18" s="141">
        <v>0.97599999999999998</v>
      </c>
      <c r="N18" s="141">
        <v>0.97599999999999998</v>
      </c>
      <c r="O18" s="141">
        <v>0.97599999999999998</v>
      </c>
    </row>
    <row r="19" spans="2:15" x14ac:dyDescent="0.25">
      <c r="B19" s="95" t="s">
        <v>62</v>
      </c>
      <c r="C19" s="141">
        <v>1</v>
      </c>
      <c r="D19" s="141">
        <v>1</v>
      </c>
      <c r="E19" s="141">
        <v>0.97599999999999998</v>
      </c>
      <c r="F19" s="141">
        <v>0.97599999999999998</v>
      </c>
      <c r="G19" s="141">
        <v>0.97599999999999998</v>
      </c>
      <c r="H19" s="141">
        <v>0.97599999999999998</v>
      </c>
      <c r="I19" s="141">
        <v>0.97599999999999998</v>
      </c>
      <c r="J19" s="141">
        <v>0.97599999999999998</v>
      </c>
      <c r="K19" s="141">
        <v>0.97599999999999998</v>
      </c>
      <c r="L19" s="141">
        <v>0.97599999999999998</v>
      </c>
      <c r="M19" s="141">
        <v>0.97599999999999998</v>
      </c>
      <c r="N19" s="141">
        <v>0.97599999999999998</v>
      </c>
      <c r="O19" s="141">
        <v>0.97599999999999998</v>
      </c>
    </row>
    <row r="20" spans="2:15" x14ac:dyDescent="0.25">
      <c r="B20" s="95" t="s">
        <v>47</v>
      </c>
      <c r="C20" s="141">
        <v>1</v>
      </c>
      <c r="D20" s="141">
        <v>1</v>
      </c>
      <c r="E20" s="141">
        <v>0.97599999999999998</v>
      </c>
      <c r="F20" s="141">
        <v>0.97599999999999998</v>
      </c>
      <c r="G20" s="141">
        <v>0.97599999999999998</v>
      </c>
      <c r="H20" s="141">
        <v>0.97599999999999998</v>
      </c>
      <c r="I20" s="141">
        <v>0.97599999999999998</v>
      </c>
      <c r="J20" s="141">
        <v>0.97599999999999998</v>
      </c>
      <c r="K20" s="141">
        <v>0.97599999999999998</v>
      </c>
      <c r="L20" s="141">
        <v>0.97599999999999998</v>
      </c>
      <c r="M20" s="141">
        <v>0.97599999999999998</v>
      </c>
      <c r="N20" s="141">
        <v>0.97599999999999998</v>
      </c>
      <c r="O20" s="141">
        <v>0.97599999999999998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workbookViewId="0">
      <selection activeCell="D5" sqref="D5:G5"/>
    </sheetView>
  </sheetViews>
  <sheetFormatPr defaultColWidth="12.7265625" defaultRowHeight="12.5" x14ac:dyDescent="0.25"/>
  <cols>
    <col min="1" max="1" width="21.26953125" style="35" customWidth="1"/>
    <col min="2" max="2" width="27.26953125" style="35" customWidth="1"/>
    <col min="3" max="7" width="15.54296875" style="35" customWidth="1"/>
    <col min="8" max="16384" width="12.7265625" style="35"/>
  </cols>
  <sheetData>
    <row r="1" spans="1:7" ht="13" x14ac:dyDescent="0.3">
      <c r="A1" s="40"/>
      <c r="B1" s="124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ht="13" x14ac:dyDescent="0.3">
      <c r="A2" s="40" t="s">
        <v>264</v>
      </c>
    </row>
    <row r="3" spans="1:7" x14ac:dyDescent="0.25">
      <c r="B3" s="63" t="s">
        <v>67</v>
      </c>
      <c r="C3" s="141">
        <v>1</v>
      </c>
      <c r="D3" s="141">
        <v>0.22</v>
      </c>
      <c r="E3" s="141">
        <v>0.22</v>
      </c>
      <c r="F3" s="141">
        <v>0.22</v>
      </c>
      <c r="G3" s="141">
        <v>0.22</v>
      </c>
    </row>
    <row r="4" spans="1:7" ht="13" x14ac:dyDescent="0.3">
      <c r="A4" s="40" t="s">
        <v>265</v>
      </c>
      <c r="B4" s="63"/>
      <c r="C4" s="132"/>
      <c r="D4" s="132"/>
      <c r="E4" s="132"/>
      <c r="F4" s="132"/>
      <c r="G4" s="132"/>
    </row>
    <row r="5" spans="1:7" x14ac:dyDescent="0.25">
      <c r="B5" s="95" t="s">
        <v>183</v>
      </c>
      <c r="C5" s="141">
        <v>1</v>
      </c>
      <c r="D5" s="141">
        <v>0.16</v>
      </c>
      <c r="E5" s="141">
        <v>0.16</v>
      </c>
      <c r="F5" s="141">
        <v>0.16</v>
      </c>
      <c r="G5" s="141">
        <v>0.16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49"/>
  <sheetViews>
    <sheetView topLeftCell="C11" zoomScale="111" workbookViewId="0">
      <selection activeCell="E43" sqref="E43"/>
    </sheetView>
  </sheetViews>
  <sheetFormatPr defaultColWidth="12.7265625" defaultRowHeight="12.5" x14ac:dyDescent="0.25"/>
  <cols>
    <col min="1" max="1" width="53" style="52" customWidth="1"/>
    <col min="2" max="2" width="30.54296875" style="52" customWidth="1"/>
    <col min="3" max="3" width="24.7265625" style="52" customWidth="1"/>
    <col min="4" max="4" width="15" style="35" customWidth="1"/>
    <col min="5" max="5" width="13.7265625" style="35" customWidth="1"/>
    <col min="6" max="6" width="14.453125" style="35" customWidth="1"/>
    <col min="7" max="7" width="12.7265625" style="35"/>
    <col min="8" max="8" width="17.54296875" style="35" customWidth="1"/>
    <col min="9" max="16384" width="12.7265625" style="35"/>
  </cols>
  <sheetData>
    <row r="1" spans="1:9" ht="13" x14ac:dyDescent="0.3">
      <c r="A1" s="40" t="s">
        <v>69</v>
      </c>
      <c r="B1" s="40" t="s">
        <v>266</v>
      </c>
      <c r="C1" s="130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1">
        <v>0</v>
      </c>
      <c r="E2" s="141">
        <v>0</v>
      </c>
      <c r="F2" s="141">
        <v>0.33500000000000002</v>
      </c>
      <c r="G2" s="141">
        <v>0.33500000000000002</v>
      </c>
      <c r="H2" s="141">
        <v>0.33500000000000002</v>
      </c>
    </row>
    <row r="3" spans="1:9" x14ac:dyDescent="0.25">
      <c r="C3" s="52" t="s">
        <v>269</v>
      </c>
      <c r="D3" s="141">
        <v>0</v>
      </c>
      <c r="E3" s="141">
        <v>0</v>
      </c>
      <c r="F3" s="141">
        <v>0.36</v>
      </c>
      <c r="G3" s="141">
        <v>0.36</v>
      </c>
      <c r="H3" s="141">
        <v>0.36</v>
      </c>
    </row>
    <row r="4" spans="1:9" x14ac:dyDescent="0.25">
      <c r="C4" s="52" t="s">
        <v>270</v>
      </c>
      <c r="D4" s="141">
        <v>0</v>
      </c>
      <c r="E4" s="141">
        <v>0</v>
      </c>
      <c r="F4" s="141">
        <v>0.45</v>
      </c>
      <c r="G4" s="141">
        <v>0.45</v>
      </c>
      <c r="H4" s="141">
        <v>0.45</v>
      </c>
    </row>
    <row r="5" spans="1:9" x14ac:dyDescent="0.25">
      <c r="A5" s="52" t="s">
        <v>58</v>
      </c>
      <c r="B5" s="52" t="s">
        <v>66</v>
      </c>
      <c r="C5" s="52" t="s">
        <v>268</v>
      </c>
      <c r="D5" s="141">
        <v>0</v>
      </c>
      <c r="E5" s="141">
        <v>0</v>
      </c>
      <c r="F5" s="141">
        <v>0.33500000000000002</v>
      </c>
      <c r="G5" s="141">
        <v>0.33500000000000002</v>
      </c>
      <c r="H5" s="141">
        <v>0.33500000000000002</v>
      </c>
    </row>
    <row r="6" spans="1:9" x14ac:dyDescent="0.25">
      <c r="C6" s="52" t="s">
        <v>270</v>
      </c>
      <c r="D6" s="141">
        <v>0</v>
      </c>
      <c r="E6" s="141">
        <v>0</v>
      </c>
      <c r="F6" s="141">
        <v>0.25970149253731345</v>
      </c>
      <c r="G6" s="141">
        <v>0.25970149253731345</v>
      </c>
      <c r="H6" s="141">
        <v>0</v>
      </c>
    </row>
    <row r="7" spans="1:9" x14ac:dyDescent="0.25">
      <c r="B7" s="52" t="s">
        <v>65</v>
      </c>
      <c r="C7" s="52" t="s">
        <v>268</v>
      </c>
      <c r="D7" s="141">
        <v>0</v>
      </c>
      <c r="E7" s="141">
        <v>0</v>
      </c>
      <c r="F7" s="141">
        <v>0.33500000000000002</v>
      </c>
      <c r="G7" s="141">
        <v>0.33500000000000002</v>
      </c>
      <c r="H7" s="141">
        <v>0.33500000000000002</v>
      </c>
    </row>
    <row r="8" spans="1:9" x14ac:dyDescent="0.25">
      <c r="C8" s="52" t="s">
        <v>270</v>
      </c>
      <c r="D8" s="141">
        <v>0</v>
      </c>
      <c r="E8" s="141">
        <v>0</v>
      </c>
      <c r="F8" s="141">
        <v>0.25970149253731345</v>
      </c>
      <c r="G8" s="141">
        <v>0.25970149253731345</v>
      </c>
      <c r="H8" s="141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1">
        <v>0</v>
      </c>
      <c r="E9" s="141">
        <v>0</v>
      </c>
      <c r="F9" s="141">
        <v>0.33500000000000002</v>
      </c>
      <c r="G9" s="141">
        <v>0.33500000000000002</v>
      </c>
      <c r="H9" s="141">
        <v>0.33500000000000002</v>
      </c>
    </row>
    <row r="10" spans="1:9" x14ac:dyDescent="0.25">
      <c r="C10" s="52" t="s">
        <v>270</v>
      </c>
      <c r="D10" s="141">
        <v>0</v>
      </c>
      <c r="E10" s="141">
        <v>0</v>
      </c>
      <c r="F10" s="141">
        <v>0.25970149253731345</v>
      </c>
      <c r="G10" s="141">
        <v>0.25970149253731345</v>
      </c>
      <c r="H10" s="141">
        <v>0</v>
      </c>
    </row>
    <row r="11" spans="1:9" x14ac:dyDescent="0.25">
      <c r="B11" s="52" t="s">
        <v>65</v>
      </c>
      <c r="C11" s="52" t="s">
        <v>268</v>
      </c>
      <c r="D11" s="141">
        <v>0</v>
      </c>
      <c r="E11" s="141">
        <v>0</v>
      </c>
      <c r="F11" s="141">
        <v>0.33500000000000002</v>
      </c>
      <c r="G11" s="141">
        <v>0.33500000000000002</v>
      </c>
      <c r="H11" s="141">
        <v>0.33500000000000002</v>
      </c>
    </row>
    <row r="12" spans="1:9" x14ac:dyDescent="0.25">
      <c r="C12" s="52" t="s">
        <v>270</v>
      </c>
      <c r="D12" s="141">
        <v>0</v>
      </c>
      <c r="E12" s="141">
        <v>0</v>
      </c>
      <c r="F12" s="141">
        <v>0.25970149253731345</v>
      </c>
      <c r="G12" s="141">
        <v>0.25970149253731345</v>
      </c>
      <c r="H12" s="141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1">
        <v>0</v>
      </c>
      <c r="E13" s="141">
        <v>0</v>
      </c>
      <c r="F13" s="141">
        <v>0.8</v>
      </c>
      <c r="G13" s="141">
        <v>0.8</v>
      </c>
      <c r="H13" s="141">
        <v>0.8</v>
      </c>
    </row>
    <row r="14" spans="1:9" x14ac:dyDescent="0.25">
      <c r="C14" s="52" t="s">
        <v>270</v>
      </c>
      <c r="D14" s="141">
        <v>0</v>
      </c>
      <c r="E14" s="141">
        <v>0</v>
      </c>
      <c r="F14" s="141">
        <v>0.85</v>
      </c>
      <c r="G14" s="141">
        <v>0.85</v>
      </c>
      <c r="H14" s="141">
        <v>0.85</v>
      </c>
      <c r="I14" s="36"/>
    </row>
    <row r="15" spans="1:9" x14ac:dyDescent="0.25">
      <c r="B15" s="52" t="s">
        <v>65</v>
      </c>
      <c r="C15" s="52" t="s">
        <v>268</v>
      </c>
      <c r="D15" s="141">
        <v>0</v>
      </c>
      <c r="E15" s="141">
        <v>0</v>
      </c>
      <c r="F15" s="141">
        <v>0.8</v>
      </c>
      <c r="G15" s="141">
        <v>0.8</v>
      </c>
      <c r="H15" s="141">
        <v>0.8</v>
      </c>
      <c r="I15" s="36"/>
    </row>
    <row r="16" spans="1:9" x14ac:dyDescent="0.25">
      <c r="C16" s="52" t="s">
        <v>270</v>
      </c>
      <c r="D16" s="141">
        <v>0</v>
      </c>
      <c r="E16" s="141">
        <v>0</v>
      </c>
      <c r="F16" s="141">
        <v>0.75</v>
      </c>
      <c r="G16" s="141">
        <v>0.75</v>
      </c>
      <c r="H16" s="141">
        <v>0.75</v>
      </c>
      <c r="I16" s="36"/>
    </row>
    <row r="17" spans="1:9" x14ac:dyDescent="0.25">
      <c r="A17" s="52" t="s">
        <v>62</v>
      </c>
      <c r="B17" s="52" t="s">
        <v>27</v>
      </c>
      <c r="C17" s="52" t="s">
        <v>268</v>
      </c>
      <c r="D17" s="141">
        <v>0.7</v>
      </c>
      <c r="E17" s="141">
        <v>0</v>
      </c>
      <c r="F17" s="141">
        <v>0</v>
      </c>
      <c r="G17" s="141">
        <v>0</v>
      </c>
      <c r="H17" s="141">
        <v>0</v>
      </c>
      <c r="I17" s="36"/>
    </row>
    <row r="18" spans="1:9" x14ac:dyDescent="0.25">
      <c r="C18" s="52" t="s">
        <v>269</v>
      </c>
      <c r="D18" s="141">
        <v>0.19</v>
      </c>
      <c r="E18" s="141">
        <v>0</v>
      </c>
      <c r="F18" s="141">
        <v>0</v>
      </c>
      <c r="G18" s="141">
        <v>0</v>
      </c>
      <c r="H18" s="141">
        <v>0</v>
      </c>
      <c r="I18" s="36"/>
    </row>
    <row r="19" spans="1:9" x14ac:dyDescent="0.25">
      <c r="A19" s="52" t="s">
        <v>63</v>
      </c>
      <c r="B19" s="52" t="s">
        <v>27</v>
      </c>
      <c r="C19" s="52" t="s">
        <v>268</v>
      </c>
      <c r="D19" s="141">
        <v>0.7</v>
      </c>
      <c r="E19" s="141">
        <v>0</v>
      </c>
      <c r="F19" s="141">
        <v>0</v>
      </c>
      <c r="G19" s="141">
        <v>0</v>
      </c>
      <c r="H19" s="141">
        <v>0</v>
      </c>
    </row>
    <row r="20" spans="1:9" x14ac:dyDescent="0.25">
      <c r="C20" s="52" t="s">
        <v>269</v>
      </c>
      <c r="D20" s="141">
        <v>0.19</v>
      </c>
      <c r="E20" s="141">
        <v>0</v>
      </c>
      <c r="F20" s="141">
        <v>0</v>
      </c>
      <c r="G20" s="141">
        <v>0</v>
      </c>
      <c r="H20" s="141">
        <v>0</v>
      </c>
    </row>
    <row r="21" spans="1:9" x14ac:dyDescent="0.25">
      <c r="A21" s="52" t="s">
        <v>64</v>
      </c>
      <c r="B21" s="52" t="s">
        <v>27</v>
      </c>
      <c r="C21" s="52" t="s">
        <v>268</v>
      </c>
      <c r="D21" s="141">
        <v>0.7</v>
      </c>
      <c r="E21" s="141">
        <v>0</v>
      </c>
      <c r="F21" s="141">
        <v>0</v>
      </c>
      <c r="G21" s="141">
        <v>0</v>
      </c>
      <c r="H21" s="141">
        <v>0</v>
      </c>
    </row>
    <row r="22" spans="1:9" x14ac:dyDescent="0.25">
      <c r="C22" s="52" t="s">
        <v>269</v>
      </c>
      <c r="D22" s="141">
        <v>0.19</v>
      </c>
      <c r="E22" s="141">
        <v>0</v>
      </c>
      <c r="F22" s="141">
        <v>0</v>
      </c>
      <c r="G22" s="141">
        <v>0</v>
      </c>
      <c r="H22" s="141">
        <v>0</v>
      </c>
    </row>
    <row r="23" spans="1:9" x14ac:dyDescent="0.25">
      <c r="A23" s="52" t="s">
        <v>79</v>
      </c>
      <c r="B23" s="52" t="s">
        <v>71</v>
      </c>
      <c r="C23" s="52" t="s">
        <v>268</v>
      </c>
      <c r="D23" s="141">
        <v>1</v>
      </c>
      <c r="E23" s="141">
        <v>1</v>
      </c>
      <c r="F23" s="141">
        <v>1</v>
      </c>
      <c r="G23" s="141">
        <v>1</v>
      </c>
      <c r="H23" s="141">
        <v>1</v>
      </c>
    </row>
    <row r="24" spans="1:9" x14ac:dyDescent="0.25">
      <c r="C24" s="52" t="s">
        <v>269</v>
      </c>
      <c r="D24" s="141">
        <v>0</v>
      </c>
      <c r="E24" s="141">
        <v>0</v>
      </c>
      <c r="F24" s="141">
        <v>0</v>
      </c>
      <c r="G24" s="141">
        <v>0</v>
      </c>
      <c r="H24" s="141">
        <v>0</v>
      </c>
    </row>
    <row r="25" spans="1:9" x14ac:dyDescent="0.25">
      <c r="C25" s="52" t="s">
        <v>270</v>
      </c>
      <c r="D25" s="141">
        <v>0</v>
      </c>
      <c r="E25" s="141">
        <v>0</v>
      </c>
      <c r="F25" s="141">
        <v>0</v>
      </c>
      <c r="G25" s="141">
        <v>0</v>
      </c>
      <c r="H25" s="141">
        <v>0</v>
      </c>
    </row>
    <row r="26" spans="1:9" x14ac:dyDescent="0.25">
      <c r="A26" s="52" t="s">
        <v>80</v>
      </c>
      <c r="B26" s="52" t="s">
        <v>71</v>
      </c>
      <c r="C26" s="52" t="s">
        <v>268</v>
      </c>
      <c r="D26" s="141">
        <v>1</v>
      </c>
      <c r="E26" s="141">
        <v>1</v>
      </c>
      <c r="F26" s="141">
        <v>1</v>
      </c>
      <c r="G26" s="141">
        <v>1</v>
      </c>
      <c r="H26" s="141">
        <v>1</v>
      </c>
    </row>
    <row r="27" spans="1:9" x14ac:dyDescent="0.25">
      <c r="C27" s="52" t="s">
        <v>269</v>
      </c>
      <c r="D27" s="141">
        <v>0</v>
      </c>
      <c r="E27" s="141">
        <v>0</v>
      </c>
      <c r="F27" s="141">
        <v>0</v>
      </c>
      <c r="G27" s="141">
        <v>0</v>
      </c>
      <c r="H27" s="141">
        <v>0</v>
      </c>
    </row>
    <row r="28" spans="1:9" x14ac:dyDescent="0.25">
      <c r="C28" s="52" t="s">
        <v>270</v>
      </c>
      <c r="D28" s="141">
        <v>0</v>
      </c>
      <c r="E28" s="141">
        <v>0</v>
      </c>
      <c r="F28" s="141">
        <v>0</v>
      </c>
      <c r="G28" s="141">
        <v>0</v>
      </c>
      <c r="H28" s="141">
        <v>0</v>
      </c>
    </row>
    <row r="29" spans="1:9" x14ac:dyDescent="0.25">
      <c r="A29" s="52" t="s">
        <v>81</v>
      </c>
      <c r="B29" s="52" t="s">
        <v>71</v>
      </c>
      <c r="C29" s="52" t="s">
        <v>268</v>
      </c>
      <c r="D29" s="141">
        <v>1</v>
      </c>
      <c r="E29" s="141">
        <v>1</v>
      </c>
      <c r="F29" s="141">
        <v>1</v>
      </c>
      <c r="G29" s="141">
        <v>1</v>
      </c>
      <c r="H29" s="141">
        <v>1</v>
      </c>
    </row>
    <row r="30" spans="1:9" x14ac:dyDescent="0.25">
      <c r="C30" s="52" t="s">
        <v>269</v>
      </c>
      <c r="D30" s="141">
        <v>0</v>
      </c>
      <c r="E30" s="141">
        <v>0</v>
      </c>
      <c r="F30" s="141">
        <v>0</v>
      </c>
      <c r="G30" s="141">
        <v>0</v>
      </c>
      <c r="H30" s="141">
        <v>0</v>
      </c>
    </row>
    <row r="31" spans="1:9" x14ac:dyDescent="0.25">
      <c r="C31" s="52" t="s">
        <v>270</v>
      </c>
      <c r="D31" s="141">
        <v>0</v>
      </c>
      <c r="E31" s="141">
        <v>0</v>
      </c>
      <c r="F31" s="141">
        <v>0</v>
      </c>
      <c r="G31" s="141">
        <v>0</v>
      </c>
      <c r="H31" s="141">
        <v>0</v>
      </c>
    </row>
    <row r="32" spans="1:9" x14ac:dyDescent="0.25">
      <c r="A32" s="52" t="s">
        <v>82</v>
      </c>
      <c r="B32" s="52" t="s">
        <v>71</v>
      </c>
      <c r="C32" s="52" t="s">
        <v>268</v>
      </c>
      <c r="D32" s="141">
        <v>1</v>
      </c>
      <c r="E32" s="141">
        <v>1</v>
      </c>
      <c r="F32" s="141">
        <v>1</v>
      </c>
      <c r="G32" s="141">
        <v>1</v>
      </c>
      <c r="H32" s="141">
        <v>1</v>
      </c>
    </row>
    <row r="33" spans="1:8" x14ac:dyDescent="0.25">
      <c r="C33" s="52" t="s">
        <v>269</v>
      </c>
      <c r="D33" s="141">
        <v>0</v>
      </c>
      <c r="E33" s="141">
        <v>0</v>
      </c>
      <c r="F33" s="141">
        <v>0</v>
      </c>
      <c r="G33" s="141">
        <v>0</v>
      </c>
      <c r="H33" s="141">
        <v>0</v>
      </c>
    </row>
    <row r="34" spans="1:8" x14ac:dyDescent="0.25">
      <c r="C34" s="52" t="s">
        <v>270</v>
      </c>
      <c r="D34" s="141">
        <v>0</v>
      </c>
      <c r="E34" s="141">
        <v>0</v>
      </c>
      <c r="F34" s="141">
        <v>0</v>
      </c>
      <c r="G34" s="141">
        <v>0</v>
      </c>
      <c r="H34" s="141">
        <v>0</v>
      </c>
    </row>
    <row r="35" spans="1:8" x14ac:dyDescent="0.25">
      <c r="A35" s="52" t="s">
        <v>83</v>
      </c>
      <c r="B35" s="52" t="s">
        <v>71</v>
      </c>
      <c r="C35" s="52" t="s">
        <v>268</v>
      </c>
      <c r="D35" s="141">
        <v>1</v>
      </c>
      <c r="E35" s="141">
        <v>1</v>
      </c>
      <c r="F35" s="141">
        <v>1</v>
      </c>
      <c r="G35" s="141">
        <v>1</v>
      </c>
      <c r="H35" s="141">
        <v>1</v>
      </c>
    </row>
    <row r="36" spans="1:8" x14ac:dyDescent="0.25">
      <c r="C36" s="52" t="s">
        <v>269</v>
      </c>
      <c r="D36" s="141">
        <v>0</v>
      </c>
      <c r="E36" s="141">
        <v>0</v>
      </c>
      <c r="F36" s="141">
        <v>0</v>
      </c>
      <c r="G36" s="141">
        <v>0</v>
      </c>
      <c r="H36" s="141">
        <v>0</v>
      </c>
    </row>
    <row r="37" spans="1:8" x14ac:dyDescent="0.25">
      <c r="C37" s="52" t="s">
        <v>270</v>
      </c>
      <c r="D37" s="141">
        <v>0</v>
      </c>
      <c r="E37" s="141">
        <v>0</v>
      </c>
      <c r="F37" s="141">
        <v>0</v>
      </c>
      <c r="G37" s="141">
        <v>0</v>
      </c>
      <c r="H37" s="141">
        <v>0</v>
      </c>
    </row>
    <row r="38" spans="1:8" x14ac:dyDescent="0.25">
      <c r="A38" s="52" t="s">
        <v>60</v>
      </c>
      <c r="B38" s="52" t="s">
        <v>71</v>
      </c>
      <c r="C38" s="52" t="s">
        <v>268</v>
      </c>
      <c r="D38" s="141">
        <v>0.3</v>
      </c>
      <c r="E38" s="141">
        <v>0.3</v>
      </c>
      <c r="F38" s="141">
        <v>0.3</v>
      </c>
      <c r="G38" s="141">
        <v>0.3</v>
      </c>
      <c r="H38" s="141">
        <v>0.3</v>
      </c>
    </row>
    <row r="39" spans="1:8" x14ac:dyDescent="0.25">
      <c r="C39" s="52" t="s">
        <v>269</v>
      </c>
      <c r="D39" s="141">
        <v>0.5</v>
      </c>
      <c r="E39" s="141">
        <v>0.5</v>
      </c>
      <c r="F39" s="141">
        <v>0.5</v>
      </c>
      <c r="G39" s="141">
        <v>0.5</v>
      </c>
      <c r="H39" s="141">
        <v>0.5</v>
      </c>
    </row>
    <row r="40" spans="1:8" x14ac:dyDescent="0.25">
      <c r="C40" s="52" t="s">
        <v>270</v>
      </c>
      <c r="D40" s="141">
        <v>0.65</v>
      </c>
      <c r="E40" s="141">
        <v>0.65</v>
      </c>
      <c r="F40" s="141">
        <v>0.65</v>
      </c>
      <c r="G40" s="141">
        <v>0.65</v>
      </c>
      <c r="H40" s="141">
        <v>0.65</v>
      </c>
    </row>
    <row r="41" spans="1:8" x14ac:dyDescent="0.25">
      <c r="B41" s="52" t="s">
        <v>16</v>
      </c>
      <c r="C41" s="52" t="s">
        <v>268</v>
      </c>
      <c r="D41" s="141">
        <v>0.3</v>
      </c>
      <c r="E41" s="141">
        <v>0.3</v>
      </c>
      <c r="F41" s="141">
        <v>0.3</v>
      </c>
      <c r="G41" s="141">
        <v>0.3</v>
      </c>
      <c r="H41" s="141">
        <v>0.3</v>
      </c>
    </row>
    <row r="42" spans="1:8" x14ac:dyDescent="0.25">
      <c r="C42" s="52" t="s">
        <v>269</v>
      </c>
      <c r="D42" s="141">
        <v>0.5</v>
      </c>
      <c r="E42" s="141">
        <v>0.5</v>
      </c>
      <c r="F42" s="141">
        <v>0.5</v>
      </c>
      <c r="G42" s="141">
        <v>0.5</v>
      </c>
      <c r="H42" s="141">
        <v>0.5</v>
      </c>
    </row>
    <row r="43" spans="1:8" x14ac:dyDescent="0.25">
      <c r="C43" s="52" t="s">
        <v>270</v>
      </c>
      <c r="D43" s="141">
        <v>0.63</v>
      </c>
      <c r="E43" s="141">
        <v>0.63</v>
      </c>
      <c r="F43" s="141">
        <v>0.63</v>
      </c>
      <c r="G43" s="141">
        <v>0.63</v>
      </c>
      <c r="H43" s="141">
        <v>0.63</v>
      </c>
    </row>
    <row r="44" spans="1:8" x14ac:dyDescent="0.25">
      <c r="A44" s="52" t="s">
        <v>84</v>
      </c>
      <c r="B44" s="52" t="s">
        <v>71</v>
      </c>
      <c r="C44" s="52" t="s">
        <v>268</v>
      </c>
      <c r="D44" s="141">
        <v>0.88</v>
      </c>
      <c r="E44" s="141">
        <v>0.88</v>
      </c>
      <c r="F44" s="141">
        <v>0.88</v>
      </c>
      <c r="G44" s="141">
        <v>0.88</v>
      </c>
      <c r="H44" s="141">
        <v>0.88</v>
      </c>
    </row>
    <row r="45" spans="1:8" x14ac:dyDescent="0.25">
      <c r="C45" s="52" t="s">
        <v>269</v>
      </c>
      <c r="D45" s="141">
        <v>0.8</v>
      </c>
      <c r="E45" s="141">
        <v>0.8</v>
      </c>
      <c r="F45" s="141">
        <v>0.8</v>
      </c>
      <c r="G45" s="141">
        <v>0.8</v>
      </c>
      <c r="H45" s="141">
        <v>0.8</v>
      </c>
    </row>
    <row r="46" spans="1:8" x14ac:dyDescent="0.25">
      <c r="A46" s="52" t="s">
        <v>85</v>
      </c>
      <c r="B46" s="52" t="s">
        <v>71</v>
      </c>
      <c r="C46" s="52" t="s">
        <v>268</v>
      </c>
      <c r="D46" s="141">
        <v>1</v>
      </c>
      <c r="E46" s="141">
        <v>1</v>
      </c>
      <c r="F46" s="141">
        <v>1</v>
      </c>
      <c r="G46" s="141">
        <v>1</v>
      </c>
      <c r="H46" s="141">
        <v>1</v>
      </c>
    </row>
    <row r="47" spans="1:8" x14ac:dyDescent="0.25">
      <c r="C47" s="52" t="s">
        <v>269</v>
      </c>
      <c r="D47" s="141">
        <v>0.76</v>
      </c>
      <c r="E47" s="141">
        <v>0.76</v>
      </c>
      <c r="F47" s="141">
        <v>0.76</v>
      </c>
      <c r="G47" s="141">
        <v>0.76</v>
      </c>
      <c r="H47" s="141">
        <v>0.76</v>
      </c>
    </row>
    <row r="48" spans="1:8" x14ac:dyDescent="0.25">
      <c r="A48" s="52" t="s">
        <v>196</v>
      </c>
      <c r="B48" s="52" t="s">
        <v>13</v>
      </c>
      <c r="C48" s="52" t="s">
        <v>268</v>
      </c>
      <c r="D48" s="141">
        <v>0.57999999999999996</v>
      </c>
      <c r="E48" s="141">
        <v>0</v>
      </c>
      <c r="F48" s="141">
        <v>0</v>
      </c>
      <c r="G48" s="141">
        <v>0</v>
      </c>
      <c r="H48" s="141">
        <v>0</v>
      </c>
    </row>
    <row r="49" spans="3:8" x14ac:dyDescent="0.25">
      <c r="C49" s="52" t="s">
        <v>269</v>
      </c>
      <c r="D49" s="141">
        <v>0.88</v>
      </c>
      <c r="E49" s="141">
        <v>0</v>
      </c>
      <c r="F49" s="141">
        <v>0</v>
      </c>
      <c r="G49" s="141">
        <v>0</v>
      </c>
      <c r="H49" s="14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topLeftCell="C1" workbookViewId="0">
      <selection activeCell="D7" sqref="D7:G7"/>
    </sheetView>
  </sheetViews>
  <sheetFormatPr defaultColWidth="12.7265625" defaultRowHeight="12.5" x14ac:dyDescent="0.25"/>
  <cols>
    <col min="1" max="1" width="28" style="35" customWidth="1"/>
    <col min="2" max="2" width="27.453125" style="35" customWidth="1"/>
    <col min="3" max="3" width="23.7265625" style="35" customWidth="1"/>
    <col min="4" max="7" width="17.26953125" style="35" customWidth="1"/>
    <col min="8" max="16384" width="12.7265625" style="35"/>
  </cols>
  <sheetData>
    <row r="1" spans="1:8" ht="13" x14ac:dyDescent="0.3">
      <c r="A1" s="124" t="s">
        <v>69</v>
      </c>
      <c r="B1" s="124" t="s">
        <v>266</v>
      </c>
      <c r="C1" s="124"/>
      <c r="D1" s="40" t="s">
        <v>53</v>
      </c>
      <c r="E1" s="40" t="s">
        <v>54</v>
      </c>
      <c r="F1" s="40" t="s">
        <v>55</v>
      </c>
      <c r="G1" s="40" t="s">
        <v>56</v>
      </c>
      <c r="H1" s="99"/>
    </row>
    <row r="2" spans="1:8" x14ac:dyDescent="0.25">
      <c r="A2" s="43" t="s">
        <v>86</v>
      </c>
      <c r="B2" s="35" t="s">
        <v>41</v>
      </c>
      <c r="C2" s="43" t="s">
        <v>268</v>
      </c>
      <c r="D2" s="141">
        <v>1</v>
      </c>
      <c r="E2" s="141">
        <v>1</v>
      </c>
      <c r="F2" s="141">
        <v>1</v>
      </c>
      <c r="G2" s="141">
        <v>1</v>
      </c>
      <c r="H2" s="95"/>
    </row>
    <row r="3" spans="1:8" x14ac:dyDescent="0.25">
      <c r="C3" s="35" t="s">
        <v>269</v>
      </c>
      <c r="D3" s="141">
        <v>0.2</v>
      </c>
      <c r="E3" s="141">
        <v>0.2</v>
      </c>
      <c r="F3" s="141">
        <v>0.2</v>
      </c>
      <c r="G3" s="141">
        <v>0.2</v>
      </c>
      <c r="H3" s="133"/>
    </row>
    <row r="4" spans="1:8" x14ac:dyDescent="0.25">
      <c r="A4" s="43" t="s">
        <v>87</v>
      </c>
      <c r="B4" s="35" t="s">
        <v>41</v>
      </c>
      <c r="C4" s="43" t="s">
        <v>268</v>
      </c>
      <c r="D4" s="141">
        <v>1</v>
      </c>
      <c r="E4" s="141">
        <v>1</v>
      </c>
      <c r="F4" s="141">
        <v>1</v>
      </c>
      <c r="G4" s="141">
        <v>1</v>
      </c>
      <c r="H4" s="133"/>
    </row>
    <row r="5" spans="1:8" x14ac:dyDescent="0.25">
      <c r="A5" s="36"/>
      <c r="C5" s="35" t="s">
        <v>269</v>
      </c>
      <c r="D5" s="141">
        <v>0.59</v>
      </c>
      <c r="E5" s="141">
        <v>0.59</v>
      </c>
      <c r="F5" s="141">
        <v>0.59</v>
      </c>
      <c r="G5" s="141">
        <v>0.59</v>
      </c>
      <c r="H5" s="95"/>
    </row>
    <row r="6" spans="1:8" x14ac:dyDescent="0.25">
      <c r="A6" s="43" t="s">
        <v>88</v>
      </c>
      <c r="B6" s="35" t="s">
        <v>41</v>
      </c>
      <c r="C6" s="43" t="s">
        <v>268</v>
      </c>
      <c r="D6" s="141">
        <v>1</v>
      </c>
      <c r="E6" s="141">
        <v>1</v>
      </c>
      <c r="F6" s="141">
        <v>1</v>
      </c>
      <c r="G6" s="141">
        <v>1</v>
      </c>
      <c r="H6" s="95"/>
    </row>
    <row r="7" spans="1:8" x14ac:dyDescent="0.25">
      <c r="A7" s="36"/>
      <c r="C7" s="35" t="s">
        <v>269</v>
      </c>
      <c r="D7" s="141">
        <v>0.59</v>
      </c>
      <c r="E7" s="141">
        <v>0.59</v>
      </c>
      <c r="F7" s="141">
        <v>0.59</v>
      </c>
      <c r="G7" s="141">
        <v>0.59</v>
      </c>
      <c r="H7" s="133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target population</vt:lpstr>
      <vt:lpstr>Programs cost and coverage</vt:lpstr>
      <vt:lpstr>IYCF cost</vt:lpstr>
      <vt:lpstr>Program dependencies</vt:lpstr>
      <vt:lpstr>Reference programs</vt:lpstr>
      <vt:lpstr>Incidence of conditions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Dom Delport</cp:lastModifiedBy>
  <dcterms:created xsi:type="dcterms:W3CDTF">2017-08-01T10:42:13Z</dcterms:created>
  <dcterms:modified xsi:type="dcterms:W3CDTF">2020-03-24T06:51:00Z</dcterms:modified>
</cp:coreProperties>
</file>