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ominic.delport\Documents\Optima Nutrition Work\SDG project data\Modelling\Optima\inputs\"/>
    </mc:Choice>
  </mc:AlternateContent>
  <xr:revisionPtr revIDLastSave="0" documentId="8_{0FA6D396-9364-4DE3-911A-CCB24E05F0EE}" xr6:coauthVersionLast="45" xr6:coauthVersionMax="45" xr10:uidLastSave="{00000000-0000-0000-0000-000000000000}"/>
  <bookViews>
    <workbookView xWindow="-110" yWindow="-110" windowWidth="19420" windowHeight="10420" tabRatio="894" firstSheet="2" activeTab="1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state="hidden" r:id="rId7"/>
    <sheet name="Treatment of SAM" sheetId="60" state="hidden" r:id="rId8"/>
    <sheet name="Programs target population" sheetId="21" state="hidden" r:id="rId9"/>
    <sheet name="Programs cost and coverage" sheetId="56" r:id="rId10"/>
    <sheet name="IYCF cost" sheetId="57" state="hidden" r:id="rId11"/>
    <sheet name="Program dependencies" sheetId="58" r:id="rId12"/>
    <sheet name="Reference programs" sheetId="59" state="hidden" r:id="rId13"/>
    <sheet name="Incidence of conditions" sheetId="7" state="hidden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state="hidden" r:id="rId26"/>
    <sheet name="Programs for children" sheetId="72" state="hidden" r:id="rId27"/>
    <sheet name="Programs for PW" sheetId="73" state="hidden" r:id="rId28"/>
  </sheet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C11" i="51"/>
  <c r="C10" i="51"/>
  <c r="C14" i="51"/>
  <c r="C15" i="5"/>
  <c r="E31" i="2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/>
  <c r="G16" i="2"/>
  <c r="H16" i="2"/>
  <c r="I16" i="2" s="1"/>
  <c r="G17" i="2"/>
  <c r="H17" i="2"/>
  <c r="G18" i="2"/>
  <c r="H18" i="2"/>
  <c r="G19" i="2"/>
  <c r="H19" i="2"/>
  <c r="I19" i="2" s="1"/>
  <c r="G20" i="2"/>
  <c r="H20" i="2"/>
  <c r="G21" i="2"/>
  <c r="H21" i="2"/>
  <c r="I21" i="2" s="1"/>
  <c r="G22" i="2"/>
  <c r="H22" i="2"/>
  <c r="G23" i="2"/>
  <c r="H23" i="2"/>
  <c r="I23" i="2" s="1"/>
  <c r="G24" i="2"/>
  <c r="H24" i="2"/>
  <c r="I24" i="2" s="1"/>
  <c r="G25" i="2"/>
  <c r="H25" i="2"/>
  <c r="I25" i="2" s="1"/>
  <c r="G26" i="2"/>
  <c r="H26" i="2"/>
  <c r="I26" i="2" s="1"/>
  <c r="G27" i="2"/>
  <c r="H27" i="2"/>
  <c r="I27" i="2" s="1"/>
  <c r="G28" i="2"/>
  <c r="H28" i="2"/>
  <c r="I28" i="2" s="1"/>
  <c r="G29" i="2"/>
  <c r="H29" i="2"/>
  <c r="G30" i="2"/>
  <c r="H30" i="2"/>
  <c r="I30" i="2" s="1"/>
  <c r="G31" i="2"/>
  <c r="H31" i="2"/>
  <c r="I31" i="2" s="1"/>
  <c r="G32" i="2"/>
  <c r="H32" i="2"/>
  <c r="I32" i="2" s="1"/>
  <c r="G33" i="2"/>
  <c r="H33" i="2"/>
  <c r="I33" i="2" s="1"/>
  <c r="G34" i="2"/>
  <c r="H34" i="2"/>
  <c r="G35" i="2"/>
  <c r="H35" i="2"/>
  <c r="I35" i="2" s="1"/>
  <c r="G36" i="2"/>
  <c r="H36" i="2"/>
  <c r="I36" i="2" s="1"/>
  <c r="G37" i="2"/>
  <c r="H37" i="2"/>
  <c r="I37" i="2" s="1"/>
  <c r="G38" i="2"/>
  <c r="H38" i="2"/>
  <c r="I38" i="2" s="1"/>
  <c r="G39" i="2"/>
  <c r="H39" i="2"/>
  <c r="I39" i="2" s="1"/>
  <c r="G40" i="2"/>
  <c r="H40" i="2"/>
  <c r="I40" i="2" s="1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G5" i="50"/>
  <c r="F5" i="50"/>
  <c r="E5" i="50"/>
  <c r="D5" i="50"/>
  <c r="C5" i="50"/>
  <c r="C48" i="1"/>
  <c r="H3" i="2"/>
  <c r="H4" i="2"/>
  <c r="G4" i="2"/>
  <c r="H5" i="2"/>
  <c r="H6" i="2"/>
  <c r="I6" i="2" s="1"/>
  <c r="H7" i="2"/>
  <c r="H8" i="2"/>
  <c r="H9" i="2"/>
  <c r="H10" i="2"/>
  <c r="I10" i="2" s="1"/>
  <c r="H11" i="2"/>
  <c r="I11" i="2" s="1"/>
  <c r="H12" i="2"/>
  <c r="I12" i="2" s="1"/>
  <c r="H13" i="2"/>
  <c r="I13" i="2" s="1"/>
  <c r="H14" i="2"/>
  <c r="I14" i="2" s="1"/>
  <c r="H15" i="2"/>
  <c r="C20" i="1"/>
  <c r="G3" i="2"/>
  <c r="G5" i="2"/>
  <c r="G6" i="2"/>
  <c r="G7" i="2"/>
  <c r="G8" i="2"/>
  <c r="G9" i="2"/>
  <c r="G10" i="2"/>
  <c r="G11" i="2"/>
  <c r="G12" i="2"/>
  <c r="G13" i="2"/>
  <c r="G14" i="2"/>
  <c r="G15" i="2"/>
  <c r="G2" i="2"/>
  <c r="I34" i="2"/>
  <c r="I22" i="2"/>
  <c r="I18" i="2"/>
  <c r="I20" i="2"/>
  <c r="I29" i="2"/>
  <c r="A3" i="2"/>
  <c r="A24" i="2"/>
  <c r="A18" i="2"/>
  <c r="A36" i="2"/>
  <c r="A40" i="2"/>
  <c r="A22" i="2"/>
  <c r="A25" i="2"/>
  <c r="A29" i="2"/>
  <c r="A27" i="2"/>
  <c r="A31" i="2"/>
  <c r="A20" i="2"/>
  <c r="A16" i="2"/>
  <c r="I17" i="2"/>
  <c r="A19" i="2"/>
  <c r="A35" i="2"/>
  <c r="A28" i="2"/>
  <c r="A17" i="2"/>
  <c r="A33" i="2"/>
  <c r="A30" i="2"/>
  <c r="A26" i="2"/>
  <c r="A23" i="2"/>
  <c r="A39" i="2"/>
  <c r="A32" i="2"/>
  <c r="A21" i="2"/>
  <c r="A37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8" i="2"/>
  <c r="C8" i="51" l="1"/>
  <c r="C7" i="51"/>
  <c r="C6" i="51"/>
  <c r="I15" i="2"/>
  <c r="I9" i="2"/>
  <c r="I8" i="2"/>
  <c r="I7" i="2"/>
  <c r="I5" i="2"/>
  <c r="I4" i="2"/>
  <c r="I3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7" authorId="0" shapeId="0" xr:uid="{436C265F-18BB-4EA2-A013-1A6FB5E77D4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8" authorId="0" shapeId="0" xr:uid="{9A2EC571-1FF1-4355-8FFE-E443B49990E3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9" authorId="0" shapeId="0" xr:uid="{DC1A8B70-4765-4D9B-B0ED-D6E4610CB68D}">
      <text>
        <r>
          <rPr>
            <sz val="9"/>
            <color indexed="81"/>
            <rFont val="Tahoma"/>
            <charset val="1"/>
          </rPr>
          <t>Source: LiST [Percentage of women exposed]</t>
        </r>
      </text>
    </comment>
    <comment ref="C10" authorId="0" shapeId="0" xr:uid="{B17B0923-2098-4531-9B5A-EF60886471DF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11" authorId="0" shapeId="0" xr:uid="{01B6AAA0-2956-49E8-8BE9-DA75CBB66D49}">
      <text>
        <r>
          <rPr>
            <sz val="9"/>
            <color indexed="81"/>
            <rFont val="Tahoma"/>
            <charset val="1"/>
          </rPr>
          <t>Source: WHO Global Health Observatory (Country level)</t>
        </r>
      </text>
    </comment>
    <comment ref="C12" authorId="0" shapeId="0" xr:uid="{3E52C12F-390C-41D6-AD50-5F422FA23831}">
      <text>
        <r>
          <rPr>
            <sz val="9"/>
            <color indexed="81"/>
            <rFont val="Tahoma"/>
            <charset val="1"/>
          </rPr>
          <t>Source: UNICEF Data (Country level)</t>
        </r>
      </text>
    </comment>
    <comment ref="C13" authorId="0" shapeId="0" xr:uid="{11D25505-D801-43FB-BE24-0BB622EE6966}">
      <text>
        <r>
          <rPr>
            <sz val="9"/>
            <color indexed="81"/>
            <rFont val="Tahoma"/>
            <charset val="1"/>
          </rPr>
          <t>Source: WHO Global Health Observatory (Country level)</t>
        </r>
      </text>
    </comment>
    <comment ref="C16" authorId="0" shapeId="0" xr:uid="{4BBC8A6D-D275-48D1-A2D5-682202DE7473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7" authorId="0" shapeId="0" xr:uid="{8594C5F1-9594-4EDF-B421-A4797CD6559C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8" authorId="0" shapeId="0" xr:uid="{3DFCED35-E274-4906-8446-089DEC143B5F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19" authorId="0" shapeId="0" xr:uid="{2CDFC4E4-3338-4A69-9597-D59A807C84A1}">
      <text>
        <r>
          <rPr>
            <sz val="9"/>
            <color indexed="81"/>
            <rFont val="Tahoma"/>
            <charset val="1"/>
          </rPr>
          <t>Source: [Filler data]</t>
        </r>
      </text>
    </comment>
    <comment ref="C23" authorId="0" shapeId="0" xr:uid="{67E3AC40-B8BF-4921-838E-7783964116BA}">
      <text>
        <r>
          <rPr>
            <sz val="9"/>
            <color indexed="81"/>
            <rFont val="Tahoma"/>
            <charset val="1"/>
          </rPr>
          <t>Source: LiST</t>
        </r>
      </text>
    </comment>
    <comment ref="C24" authorId="0" shapeId="0" xr:uid="{34657AA4-DB83-41EF-8F0D-5D899C1BF32E}">
      <text>
        <r>
          <rPr>
            <sz val="9"/>
            <color indexed="81"/>
            <rFont val="Tahoma"/>
            <charset val="1"/>
          </rPr>
          <t>Source: LiST</t>
        </r>
      </text>
    </comment>
    <comment ref="C25" authorId="0" shapeId="0" xr:uid="{264CEACC-1A7C-451C-84C9-7477E9A6A4AB}">
      <text>
        <r>
          <rPr>
            <sz val="9"/>
            <color indexed="81"/>
            <rFont val="Tahoma"/>
            <charset val="1"/>
          </rPr>
          <t>Source: LiST</t>
        </r>
      </text>
    </comment>
    <comment ref="C26" authorId="0" shapeId="0" xr:uid="{B481C9C3-B454-4866-B62B-F5F0F4C992C6}">
      <text>
        <r>
          <rPr>
            <sz val="9"/>
            <color indexed="81"/>
            <rFont val="Tahoma"/>
            <charset val="1"/>
          </rPr>
          <t>Source: LiST</t>
        </r>
      </text>
    </comment>
    <comment ref="C29" authorId="0" shapeId="0" xr:uid="{C5071E46-B471-4034-9D21-FB611A1015E4}">
      <text>
        <r>
          <rPr>
            <sz val="9"/>
            <color indexed="81"/>
            <rFont val="Tahoma"/>
            <charset val="1"/>
          </rPr>
          <t>Source: LiST</t>
        </r>
      </text>
    </comment>
    <comment ref="C30" authorId="0" shapeId="0" xr:uid="{52A30449-AA2B-4A15-A7A6-3C0478D87D73}">
      <text>
        <r>
          <rPr>
            <sz val="9"/>
            <color indexed="81"/>
            <rFont val="Tahoma"/>
            <charset val="1"/>
          </rPr>
          <t>Source: LiST</t>
        </r>
      </text>
    </comment>
    <comment ref="C31" authorId="0" shapeId="0" xr:uid="{CA1B1793-3CBC-40F7-8120-7CD6E776EF07}">
      <text>
        <r>
          <rPr>
            <sz val="9"/>
            <color indexed="81"/>
            <rFont val="Tahoma"/>
            <charset val="1"/>
          </rPr>
          <t>Source: LiST</t>
        </r>
      </text>
    </comment>
    <comment ref="C32" authorId="0" shapeId="0" xr:uid="{80604367-D963-4DBE-8630-6C7B2F2D480C}">
      <text>
        <r>
          <rPr>
            <sz val="9"/>
            <color indexed="81"/>
            <rFont val="Tahoma"/>
            <charset val="1"/>
          </rPr>
          <t>Source: LiST</t>
        </r>
      </text>
    </comment>
    <comment ref="C37" authorId="0" shapeId="0" xr:uid="{72C608AD-2EDE-462B-837F-383E0D400517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38" authorId="0" shapeId="0" xr:uid="{6F6D8851-247F-4C4C-A90B-CF7074DC164A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39" authorId="0" shapeId="0" xr:uid="{98BCD96C-9432-4F36-9AB9-356A46E79110}">
      <text>
        <r>
          <rPr>
            <sz val="9"/>
            <color indexed="81"/>
            <rFont val="Tahoma"/>
            <charset val="1"/>
          </rPr>
          <t>Source: World Bank Development Indicators (Country level)</t>
        </r>
      </text>
    </comment>
    <comment ref="C40" authorId="0" shapeId="0" xr:uid="{FBED7D96-9585-4B47-BB0E-F8FC3417999E}">
      <text>
        <r>
          <rPr>
            <sz val="9"/>
            <color indexed="81"/>
            <rFont val="Tahoma"/>
            <charset val="1"/>
          </rPr>
          <t>Source: UNICEF Data (2015) (Country level)</t>
        </r>
      </text>
    </comment>
    <comment ref="C41" authorId="0" shapeId="0" xr:uid="{156FB7B3-752C-4C26-8372-84A17703C834}">
      <text>
        <r>
          <rPr>
            <sz val="9"/>
            <color indexed="81"/>
            <rFont val="Tahoma"/>
            <charset val="1"/>
          </rPr>
          <t>Source: LiST</t>
        </r>
      </text>
    </comment>
    <comment ref="C42" authorId="0" shapeId="0" xr:uid="{55CBB880-CA7C-479A-8D3F-13036790EF9C}">
      <text>
        <r>
          <rPr>
            <sz val="9"/>
            <color indexed="81"/>
            <rFont val="Tahoma"/>
            <charset val="1"/>
          </rPr>
          <t>Source: WHO Global Health Observatory (2015) (Country level)</t>
        </r>
      </text>
    </comment>
    <comment ref="C45" authorId="0" shapeId="0" xr:uid="{DD71A3ED-A810-4426-A5F4-6EA11983C196}">
      <text>
        <r>
          <rPr>
            <sz val="9"/>
            <color indexed="81"/>
            <rFont val="Tahoma"/>
            <charset val="1"/>
          </rPr>
          <t>Source: LiST</t>
        </r>
      </text>
    </comment>
    <comment ref="C46" authorId="0" shapeId="0" xr:uid="{E0845B0E-65EE-4AF5-B3B9-C850F4D83EE0}">
      <text>
        <r>
          <rPr>
            <sz val="9"/>
            <color indexed="81"/>
            <rFont val="Tahoma"/>
            <charset val="1"/>
          </rPr>
          <t>Source: LiST</t>
        </r>
      </text>
    </comment>
    <comment ref="C47" authorId="0" shapeId="0" xr:uid="{9C91C9ED-164A-4756-BA87-8283A95FDE64}">
      <text>
        <r>
          <rPr>
            <sz val="9"/>
            <color indexed="81"/>
            <rFont val="Tahoma"/>
            <charset val="1"/>
          </rPr>
          <t>Source: LiST</t>
        </r>
      </text>
    </comment>
    <comment ref="C51" authorId="0" shapeId="0" xr:uid="{AEE6EC4C-4DA1-4ECF-BDFA-3BD645D8085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2" authorId="0" shapeId="0" xr:uid="{03568116-8220-4284-AF6E-796F649B63D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3" authorId="0" shapeId="0" xr:uid="{493841B9-C808-40C0-BD2E-FFD739DDF2B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4" authorId="0" shapeId="0" xr:uid="{EC4EBA7A-24A6-47CC-A8D8-F17F29EE792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5" authorId="0" shapeId="0" xr:uid="{83C85FDD-B430-481D-B27B-835224FAA3E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8" authorId="0" shapeId="0" xr:uid="{933EB531-EA67-4FE5-A97A-7437CB43B635}">
      <text>
        <r>
          <rPr>
            <sz val="9"/>
            <color indexed="81"/>
            <rFont val="Tahoma"/>
            <charset val="1"/>
          </rPr>
          <t>Source: Global burden of childhood pneumonia and diarrhoea &lt;https://www.sciencedirect.com/science/article/pii/S0140673613602226?via%3Dihub&gt; (Region level)</t>
        </r>
      </text>
    </comment>
    <comment ref="C59" authorId="0" shapeId="0" xr:uid="{DE9B0324-4D18-481B-988F-45FE581FDA86}">
      <text>
        <r>
          <rPr>
            <sz val="9"/>
            <color indexed="81"/>
            <rFont val="Tahoma"/>
            <charset val="1"/>
          </rPr>
          <t>Source: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B2" authorId="0" shapeId="0" xr:uid="{82151CD3-89CD-48F8-97AB-75798B62AA6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2" authorId="0" shapeId="0" xr:uid="{3E705DC0-8C7A-4804-9DEA-2A6EE1ABD9F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2" authorId="0" shapeId="0" xr:uid="{E2B13E59-BA5B-4A10-A663-64115708271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2" authorId="0" shapeId="0" xr:uid="{E46406FC-6827-43AB-93E3-8FC30C1BBCA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2" authorId="0" shapeId="0" xr:uid="{93C17B6F-ECF6-44DD-97D5-C133FA82CA1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3" authorId="0" shapeId="0" xr:uid="{83F4DA3C-31D9-47FC-9520-566FBB953C6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3" authorId="0" shapeId="0" xr:uid="{27D5BDC3-7B18-4612-BCD9-96CFE033765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3" authorId="0" shapeId="0" xr:uid="{296157CB-7A1F-43F5-85E8-E2EA4991F85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3" authorId="0" shapeId="0" xr:uid="{AE632297-3D3F-4864-81A6-B27F2FBF4CD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3" authorId="0" shapeId="0" xr:uid="{28DA85F3-BDE8-4320-BCFA-8396CE63140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4" authorId="0" shapeId="0" xr:uid="{E7A828D1-9E56-4FBB-8C50-CA64C02CFABC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4" authorId="0" shapeId="0" xr:uid="{527CAB76-F7E9-4861-8377-4FF2662611C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4" authorId="0" shapeId="0" xr:uid="{1BCA4688-77AB-4D4B-8340-902F73BCE32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4" authorId="0" shapeId="0" xr:uid="{42B50947-FEA3-4A8E-89BA-D0A42B65E5D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4" authorId="0" shapeId="0" xr:uid="{0B12CBEE-7C4F-497F-87D5-0AD52E024CB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5" authorId="0" shapeId="0" xr:uid="{52F597D3-C987-475A-8275-72AAA10202D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5" authorId="0" shapeId="0" xr:uid="{68FD8DF7-595D-4AC4-B172-9D05807D070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5" authorId="0" shapeId="0" xr:uid="{72385861-470A-4D16-935D-1A720FE695D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5" authorId="0" shapeId="0" xr:uid="{57CFFEBB-9CAF-4647-8664-7F9D88027AC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5" authorId="0" shapeId="0" xr:uid="{830CD54E-1AC1-451B-A660-05957208CC6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6" authorId="0" shapeId="0" xr:uid="{D3235DED-E34A-4B71-9BD9-D3FA1C3D951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6" authorId="0" shapeId="0" xr:uid="{34E7DD00-586F-415B-A84B-42AF6893457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6" authorId="0" shapeId="0" xr:uid="{E10AF5FC-A7C0-45C7-A0DA-C8ED22828D9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6" authorId="0" shapeId="0" xr:uid="{DC6074DD-7FE3-4C6A-A575-FB57B7C6E7B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6" authorId="0" shapeId="0" xr:uid="{55F7F01A-BD89-4CB4-8CA5-1125AFF3D20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7" authorId="0" shapeId="0" xr:uid="{5B6A9B16-9D5A-4751-A7AA-31D49561140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7" authorId="0" shapeId="0" xr:uid="{33739D1D-343B-4DB4-B255-B64E46261FE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7" authorId="0" shapeId="0" xr:uid="{6080C023-ECB1-4735-B482-E8A66CFFB1C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7" authorId="0" shapeId="0" xr:uid="{8F795E74-2D79-4A20-B2D1-0D0ED64ECBB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7" authorId="0" shapeId="0" xr:uid="{DD5C2547-3D78-4955-85B8-5E4BB7A41FF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8" authorId="0" shapeId="0" xr:uid="{67D9DD16-9685-459F-9037-E0C585CF897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8" authorId="0" shapeId="0" xr:uid="{B9DEE95F-BE0E-4D86-8093-D7BACDFB8B6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8" authorId="0" shapeId="0" xr:uid="{F82A9669-E7D9-4CCE-A815-E4526D062A0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8" authorId="0" shapeId="0" xr:uid="{AB7CED24-7976-4667-8EB4-FE6BC944714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8" authorId="0" shapeId="0" xr:uid="{0F2AAD16-9C0D-440F-93FD-06A7C01AA1E8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9" authorId="0" shapeId="0" xr:uid="{9EAFD1C3-BF69-44B0-8DE2-C3E88019B04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9" authorId="0" shapeId="0" xr:uid="{6A25C7B7-A7F4-4D28-BB2E-636BEC3BAF1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9" authorId="0" shapeId="0" xr:uid="{453DFE5C-BF11-4BE7-B0DA-4B4CB95293F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9" authorId="0" shapeId="0" xr:uid="{4B8AAE52-EAE7-478C-A72B-DD574FC0CF8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9" authorId="0" shapeId="0" xr:uid="{EC20E1D4-C423-49D7-875E-9190C16BE18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0" authorId="0" shapeId="0" xr:uid="{702D864E-F92E-4019-AF4A-FA078704D15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0" authorId="0" shapeId="0" xr:uid="{07B673DC-D7E0-43AD-BA4F-FF769F365B2A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0" authorId="0" shapeId="0" xr:uid="{03CF9EA1-4F70-4BF9-93DC-4FEEBF645C0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0" authorId="0" shapeId="0" xr:uid="{4F1DD125-5D58-46F9-A353-B44736E90DA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0" authorId="0" shapeId="0" xr:uid="{3FD9025A-4BDB-46D2-BE69-DF60E24D366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1" authorId="0" shapeId="0" xr:uid="{2D45A8E0-D8B3-44B4-AC01-AA052FE9D36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1" authorId="0" shapeId="0" xr:uid="{06CB49BF-78A1-408C-9E6B-A4AE7081FF4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1" authorId="0" shapeId="0" xr:uid="{29B88A52-561E-4AB8-BE64-0881CF7124C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1" authorId="0" shapeId="0" xr:uid="{BB8562DD-9902-4284-B3F2-6C4F85F2E24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1" authorId="0" shapeId="0" xr:uid="{424F7FEC-E6E5-4EF7-B813-E77E566E614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2" authorId="0" shapeId="0" xr:uid="{6D8541AC-D314-4456-B6EC-0BEC1AC398E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2" authorId="0" shapeId="0" xr:uid="{29C0406D-0835-4624-9508-BAA93E4FD5E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2" authorId="0" shapeId="0" xr:uid="{D46F6957-A217-45E3-9CC1-E805F9E401E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2" authorId="0" shapeId="0" xr:uid="{1FD689A6-F572-42FE-815B-704A1C3C64E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2" authorId="0" shapeId="0" xr:uid="{C0F7B9BB-C161-420D-88D9-CD97A8D90AD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3" authorId="0" shapeId="0" xr:uid="{5C9B92BB-488A-4D71-B0BC-B9A9A76A0FED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3" authorId="0" shapeId="0" xr:uid="{DF486212-534D-4404-A6A1-788E8C27E504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3" authorId="0" shapeId="0" xr:uid="{7090D78A-5A23-430C-9BEB-90A75B76907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3" authorId="0" shapeId="0" xr:uid="{CB9AF1D0-0945-4692-957A-1F5F29EEE899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3" authorId="0" shapeId="0" xr:uid="{819A2AB0-44F0-40F0-828D-BF24CD16099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4" authorId="0" shapeId="0" xr:uid="{A97C4E03-E4DF-4ACC-A0D8-42EF298E8EEF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4" authorId="0" shapeId="0" xr:uid="{EE40AAD5-EB66-4970-82A8-2FBF1FBF54D6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4" authorId="0" shapeId="0" xr:uid="{3E6EAC05-3F29-4974-8E56-83F17A29779B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4" authorId="0" shapeId="0" xr:uid="{D8E3246A-EF70-4DFE-8232-82F9DDF11062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4" authorId="0" shapeId="0" xr:uid="{28540762-469C-4E3D-8509-C1FF5F94D001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B15" authorId="0" shapeId="0" xr:uid="{BEAADFE1-F9F9-4108-8F2D-AB3204691B83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C15" authorId="0" shapeId="0" xr:uid="{C6CB3A62-2717-4A72-A914-2256EE167C25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D15" authorId="0" shapeId="0" xr:uid="{CFC54B71-278C-4729-B645-C398D89224DE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E15" authorId="0" shapeId="0" xr:uid="{31B84DC1-9BA1-44B8-BA89-9F705CEF8077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  <comment ref="F15" authorId="0" shapeId="0" xr:uid="{33EA562F-5F54-4C6E-B0EA-781981AB5FB0}">
      <text>
        <r>
          <rPr>
            <sz val="9"/>
            <color indexed="81"/>
            <rFont val="Tahoma"/>
            <charset val="1"/>
          </rPr>
          <t>Source: Population Estimates and Projections, World Bank Group (Country level)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3" authorId="0" shapeId="0" xr:uid="{EA032FB9-E4E0-479B-9290-7597D08D656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4" authorId="0" shapeId="0" xr:uid="{754FD93A-C97F-4365-A205-61D121600D0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5" authorId="0" shapeId="0" xr:uid="{44EE0B51-B225-422F-A890-6DB623F478A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6" authorId="0" shapeId="0" xr:uid="{0E1D7C03-6B35-4764-A3A3-D1142A9217E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7" authorId="0" shapeId="0" xr:uid="{5E8DDCD6-9802-45E2-AAE8-E52842D5A6A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8" authorId="0" shapeId="0" xr:uid="{5F39773E-4611-4D41-9468-D211E1E9B84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9" authorId="0" shapeId="0" xr:uid="{2638DC88-37DD-4243-9C18-76550CD5787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0" authorId="0" shapeId="0" xr:uid="{2A715A9E-6689-4A97-9B2F-7C4090DAE42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4" authorId="0" shapeId="0" xr:uid="{830FA399-168A-4F57-A7CC-CC0CB5B7B218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4" authorId="0" shapeId="0" xr:uid="{43AE56F5-EAC3-47BF-922B-715CEEBF84DB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4" authorId="0" shapeId="0" xr:uid="{53086C1C-E810-467C-B453-314CDD69ECF2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4" authorId="0" shapeId="0" xr:uid="{64479E37-84EA-4858-A995-F59C2D7B7478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5" authorId="0" shapeId="0" xr:uid="{2456A66F-28D5-4F1B-836E-7AA42DFE9B0F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5" authorId="0" shapeId="0" xr:uid="{3AD80885-6CAB-473B-A9A1-1A8E811ED62C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5" authorId="0" shapeId="0" xr:uid="{6617DC88-A55E-485F-9143-13984403659E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5" authorId="0" shapeId="0" xr:uid="{4AC0A72B-2590-4980-BA74-89131C84B8EF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6" authorId="0" shapeId="0" xr:uid="{1DF9EFCE-3154-43CD-A81C-331165A54381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6" authorId="0" shapeId="0" xr:uid="{C13ECBCD-C075-4D3D-93A0-75DC5CAB8316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6" authorId="0" shapeId="0" xr:uid="{2240C288-B181-4C36-94D3-891CF81981F0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6" authorId="0" shapeId="0" xr:uid="{D112FEC4-07CC-4643-AA30-03515208F45E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7" authorId="0" shapeId="0" xr:uid="{8F92A419-E85B-450A-B70F-101A5A5B8FE5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7" authorId="0" shapeId="0" xr:uid="{4B1AF276-F5F4-438D-8484-24AF631A6291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7" authorId="0" shapeId="0" xr:uid="{EDC63641-1FA9-433D-AA41-D4202970BAD5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7" authorId="0" shapeId="0" xr:uid="{22606FC8-91B3-48F4-B6E1-DA31C4E85A7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8" authorId="0" shapeId="0" xr:uid="{D6444F0B-3B9B-45AB-8DE9-F241BB6BE752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8" authorId="0" shapeId="0" xr:uid="{B8202F1F-F24C-48B9-AE99-F49B7655D6DA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8" authorId="0" shapeId="0" xr:uid="{5A1FD4AC-9EA5-4667-BA18-D8B70EB010C2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8" authorId="0" shapeId="0" xr:uid="{43A2E47C-FD05-4555-92DF-2C0E9B4E99D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19" authorId="0" shapeId="0" xr:uid="{877778B6-851B-47BC-9491-3B3F34A9D685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19" authorId="0" shapeId="0" xr:uid="{19464505-0BF2-4E74-982D-A151AE5C380F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9" authorId="0" shapeId="0" xr:uid="{F88005B6-A973-42A0-A5E3-8E9C2AF340E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19" authorId="0" shapeId="0" xr:uid="{2A1A11C5-C6D3-4BAE-A6C3-C08D398EED4F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0" authorId="0" shapeId="0" xr:uid="{FD8BCB81-61EC-40CA-B3AC-5DF6F9CD256B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0" authorId="0" shapeId="0" xr:uid="{0051C132-4B6F-4F06-AB52-0E94FA769901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0" authorId="0" shapeId="0" xr:uid="{8F6C18CB-5F54-45E6-B394-4A2AEC8F6D8C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0" authorId="0" shapeId="0" xr:uid="{B5B84427-E20C-4DFC-963F-BAFADD076DB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1" authorId="0" shapeId="0" xr:uid="{F2D06694-37BC-4D62-8A78-4410B40FBF2D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1" authorId="0" shapeId="0" xr:uid="{89121BBB-A5A7-4003-913C-F0BBEC3C76B1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1" authorId="0" shapeId="0" xr:uid="{3254755E-549C-46CC-B761-9F138D2401CB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1" authorId="0" shapeId="0" xr:uid="{4C81C50E-3462-4E1E-9CB3-D4DA2BA6EA77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2" authorId="0" shapeId="0" xr:uid="{9509D905-C770-4A73-9C05-A3BD49997D3A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D22" authorId="0" shapeId="0" xr:uid="{37EB3184-CD2D-4EC9-A70E-119574DE102A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22" authorId="0" shapeId="0" xr:uid="{12671B2B-82F2-4293-8FD9-B31B01486333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F22" authorId="0" shapeId="0" xr:uid="{94A26F85-5233-4D8F-A302-1FD496CEDD5A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C26" authorId="0" shapeId="0" xr:uid="{10E8881D-9EFA-4949-8DE8-BBD0E4C95799}">
      <text>
        <r>
          <rPr>
            <sz val="9"/>
            <color indexed="81"/>
            <rFont val="Tahoma"/>
            <charset val="1"/>
          </rPr>
          <t>Source: LiST</t>
        </r>
      </text>
    </comment>
    <comment ref="C27" authorId="0" shapeId="0" xr:uid="{73F6A9FB-A7A7-4143-B9BA-1E74FD521170}">
      <text>
        <r>
          <rPr>
            <sz val="9"/>
            <color indexed="81"/>
            <rFont val="Tahoma"/>
            <charset val="1"/>
          </rPr>
          <t>Source: LiST</t>
        </r>
      </text>
    </comment>
    <comment ref="C28" authorId="0" shapeId="0" xr:uid="{4F4E49BA-7946-4B7F-82DB-B19DE320646A}">
      <text>
        <r>
          <rPr>
            <sz val="9"/>
            <color indexed="81"/>
            <rFont val="Tahoma"/>
            <charset val="1"/>
          </rPr>
          <t>Source: LiST</t>
        </r>
      </text>
    </comment>
    <comment ref="C29" authorId="0" shapeId="0" xr:uid="{A7092277-A4D5-4EBB-9F5C-BC05198BC52C}">
      <text>
        <r>
          <rPr>
            <sz val="9"/>
            <color indexed="81"/>
            <rFont val="Tahoma"/>
            <charset val="1"/>
          </rPr>
          <t>Source: LiST</t>
        </r>
      </text>
    </comment>
    <comment ref="C30" authorId="0" shapeId="0" xr:uid="{020440BF-9993-4D68-956D-49FEBA6035F7}">
      <text>
        <r>
          <rPr>
            <sz val="9"/>
            <color indexed="81"/>
            <rFont val="Tahoma"/>
            <charset val="1"/>
          </rPr>
          <t>Source: LiST</t>
        </r>
      </text>
    </comment>
    <comment ref="C31" authorId="0" shapeId="0" xr:uid="{5D3AD777-81B5-48F5-9C83-93B68A3D2053}">
      <text>
        <r>
          <rPr>
            <sz val="9"/>
            <color indexed="81"/>
            <rFont val="Tahoma"/>
            <charset val="1"/>
          </rPr>
          <t>Source: LiST</t>
        </r>
      </text>
    </comment>
    <comment ref="C32" authorId="0" shapeId="0" xr:uid="{44543A88-73DD-4B15-BF26-9FFE35121A64}">
      <text>
        <r>
          <rPr>
            <sz val="9"/>
            <color indexed="81"/>
            <rFont val="Tahoma"/>
            <charset val="1"/>
          </rPr>
          <t>Source: LiST</t>
        </r>
      </text>
    </comment>
    <comment ref="C33" authorId="0" shapeId="0" xr:uid="{3822D9B4-E065-451E-82F3-98E107665019}">
      <text>
        <r>
          <rPr>
            <sz val="9"/>
            <color indexed="81"/>
            <rFont val="Tahoma"/>
            <charset val="1"/>
          </rPr>
          <t>Source: LiST</t>
        </r>
      </text>
    </comment>
    <comment ref="C34" authorId="0" shapeId="0" xr:uid="{E0A9CA40-E5F6-4BCC-9209-374319A0D75B}">
      <text>
        <r>
          <rPr>
            <sz val="9"/>
            <color indexed="81"/>
            <rFont val="Tahoma"/>
            <charset val="1"/>
          </rPr>
          <t>Source: 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2" authorId="0" shapeId="0" xr:uid="{892E3469-1B29-4B2F-912F-486A7C562392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2" authorId="0" shapeId="0" xr:uid="{1EEA1A7F-DABA-4EB8-B297-645C98E1D3E5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2" authorId="0" shapeId="0" xr:uid="{1DA4CC03-C2A1-4952-A728-9922EABE748A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2" authorId="0" shapeId="0" xr:uid="{BA90737C-B89D-42C1-9631-9C62C7CE038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2" authorId="0" shapeId="0" xr:uid="{37C0DEBA-B2D8-4ACB-8A40-6E6136988275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3" authorId="0" shapeId="0" xr:uid="{EAED1D6E-D32E-4A16-B354-98B320C642B9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3" authorId="0" shapeId="0" xr:uid="{79ACA422-A3A8-407F-9C34-CFE14F7DD21E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3" authorId="0" shapeId="0" xr:uid="{FBCFFC6B-6ADA-4AD8-96E9-798E0C3540E8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3" authorId="0" shapeId="0" xr:uid="{24C4D58E-EE72-453E-AC1D-87BC1F49BDA0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3" authorId="0" shapeId="0" xr:uid="{1B7443D2-B8A1-470A-A21E-087D7A6DE7B4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4" authorId="0" shapeId="0" xr:uid="{6F74A185-B912-4DF9-AD54-EAAC3053F792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4" authorId="0" shapeId="0" xr:uid="{E37B8EB4-51B6-47C0-91A3-7C9FB99A4AA8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4" authorId="0" shapeId="0" xr:uid="{3DF52947-8597-4DA8-BAF9-A78CC2183EA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4" authorId="0" shapeId="0" xr:uid="{9AFF47BE-D1BA-4B90-A6E8-8856BD0CC24F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4" authorId="0" shapeId="0" xr:uid="{6F531627-026E-4D8A-A03D-49C952A0D5FF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5" authorId="0" shapeId="0" xr:uid="{B1E229A2-4489-4DA2-AB1B-9903AA4DBA2D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5" authorId="0" shapeId="0" xr:uid="{765098DC-7DF0-426B-B818-5E4EC613F93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5" authorId="0" shapeId="0" xr:uid="{D2FE7EF2-5A45-4FD4-A972-4A51206A801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5" authorId="0" shapeId="0" xr:uid="{6446B403-FC6E-4752-9B32-3CC926BCDF6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5" authorId="0" shapeId="0" xr:uid="{FBA4140C-9A88-49EF-BCC9-69C792A33DED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8" authorId="0" shapeId="0" xr:uid="{4DBDCCAE-11BE-436D-B224-19ED6F8525E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8" authorId="0" shapeId="0" xr:uid="{FB410B2A-5B71-4746-85E9-F7EDFA719AD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8" authorId="0" shapeId="0" xr:uid="{A53C8C43-417B-457C-B6A5-95D697D02AFD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8" authorId="0" shapeId="0" xr:uid="{FE07DF9E-EA4C-498A-9A8D-74BC4B7DD39E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8" authorId="0" shapeId="0" xr:uid="{F1DCD895-97AF-48AF-9420-B5E72C38CF8A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9" authorId="0" shapeId="0" xr:uid="{8FF38BC4-1DAA-4AD5-AA44-C0FABA3747C0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9" authorId="0" shapeId="0" xr:uid="{EE631E37-116F-4392-B576-A75B0EEEB945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9" authorId="0" shapeId="0" xr:uid="{6AA821B6-8E5F-4157-BA7D-08D9B2FA1C0C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9" authorId="0" shapeId="0" xr:uid="{09C2AF23-0C25-46AC-BED2-8634D4C788D3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9" authorId="0" shapeId="0" xr:uid="{5CA30A72-829C-4A64-8B75-B9E6420F585A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10" authorId="0" shapeId="0" xr:uid="{B4185157-2113-4C32-970B-FFE1FB11DB5A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10" authorId="0" shapeId="0" xr:uid="{32F6C368-ED39-4046-9E3D-5623393A8495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10" authorId="0" shapeId="0" xr:uid="{7C94AAD1-FE2E-4E44-BE83-A9509017E492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10" authorId="0" shapeId="0" xr:uid="{F3F87D49-3712-4DC0-A3FB-400DADD9074E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10" authorId="0" shapeId="0" xr:uid="{FEF38AA5-6DA0-4FCB-A782-9B9FEAD99685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11" authorId="0" shapeId="0" xr:uid="{64C9C1E0-2810-4ED5-9943-5CF1B0ECED08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D11" authorId="0" shapeId="0" xr:uid="{C2DA63ED-5CAD-4276-9ACB-49819A1CBE8B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E11" authorId="0" shapeId="0" xr:uid="{73321C34-D0BB-4EBB-8BB5-F8D59F993BBD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F11" authorId="0" shapeId="0" xr:uid="{8A0489D4-D995-4268-95E5-8DF69E8FBE92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G11" authorId="0" shapeId="0" xr:uid="{76D57AE1-BBB8-43EC-A513-1E8ED4E40733}">
      <text>
        <r>
          <rPr>
            <sz val="9"/>
            <color indexed="81"/>
            <rFont val="Tahoma"/>
            <charset val="1"/>
          </rPr>
          <t>Source: JME (Country level)</t>
        </r>
      </text>
    </comment>
    <comment ref="C14" authorId="0" shapeId="0" xr:uid="{6B40CB20-E884-4AB3-9AF5-68D8E01B75F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14" authorId="0" shapeId="0" xr:uid="{182AA05A-CE88-42C7-80AD-6E348386D86B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E14" authorId="0" shapeId="0" xr:uid="{98E2D3D0-EF9B-41CA-B34F-E99347A46115}">
      <text>
        <r>
          <rPr>
            <sz val="9"/>
            <color indexed="81"/>
            <rFont val="Tahoma"/>
            <charset val="1"/>
          </rPr>
          <t>Source: IMHE, GBD 2017 (Country level) [1-11 months not separable]</t>
        </r>
      </text>
    </comment>
    <comment ref="F14" authorId="0" shapeId="0" xr:uid="{6D3F9FE3-D6CC-47C1-8E0C-ACF35AF829B7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G14" authorId="0" shapeId="0" xr:uid="{55AC1B23-AA6D-425B-AAFF-C64F412349ED}">
      <text>
        <r>
          <rPr>
            <sz val="9"/>
            <color indexed="81"/>
            <rFont val="Tahoma"/>
            <charset val="1"/>
          </rPr>
          <t>Source: IMHE, GBD 2017 (Country level) [12-59 months not separable]</t>
        </r>
      </text>
    </comment>
    <comment ref="H14" authorId="0" shapeId="0" xr:uid="{47C408F8-2D97-4EBD-BDC1-7128B54272AF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I14" authorId="0" shapeId="0" xr:uid="{143E611E-E5B3-4E2E-BAA5-4D7D54DEB7FC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J14" authorId="0" shapeId="0" xr:uid="{7FCB4B03-4B95-4AD0-89BD-44BC67DFF83F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K14" authorId="0" shapeId="0" xr:uid="{33B455D0-3425-46AD-8207-C3DF55BB5602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L14" authorId="0" shapeId="0" xr:uid="{93882254-13A4-40AC-8C6C-91242F91A8F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14" authorId="0" shapeId="0" xr:uid="{FDE478D0-3102-45AE-A7FF-D72D5B332BB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14" authorId="0" shapeId="0" xr:uid="{7C75F658-11A9-428D-8EC1-8D43598F9D4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14" authorId="0" shapeId="0" xr:uid="{87C433A5-5513-4FBA-9E14-D389903FB21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  <author>Dominic Delport</author>
  </authors>
  <commentList>
    <comment ref="C2" authorId="0" shapeId="0" xr:uid="{D3625608-10E1-4704-8F82-0B2609A3AB7B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D2" authorId="0" shapeId="0" xr:uid="{309949EE-179F-4481-B08C-1184627A519F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G2" authorId="1" shapeId="0" xr:uid="{6B0A09E8-7C93-4372-8C15-8B0F45D5AEFD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  <comment ref="C3" authorId="0" shapeId="0" xr:uid="{399FB0E7-42D9-4CA5-BD19-C4FB99AA48DF}">
      <text>
        <r>
          <rPr>
            <sz val="9"/>
            <color indexed="81"/>
            <rFont val="Tahoma"/>
            <charset val="1"/>
          </rPr>
          <t>Source: LiST</t>
        </r>
      </text>
    </comment>
    <comment ref="D3" authorId="0" shapeId="0" xr:uid="{23880639-BB8A-4C62-8EAD-87FE159381F3}">
      <text>
        <r>
          <rPr>
            <sz val="9"/>
            <color indexed="81"/>
            <rFont val="Tahoma"/>
            <charset val="1"/>
          </rPr>
          <t>Source: LiST</t>
        </r>
      </text>
    </comment>
    <comment ref="G3" authorId="1" shapeId="0" xr:uid="{F82038E1-BF1B-4424-AEC2-4BAF11F0EBE0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  <comment ref="C4" authorId="0" shapeId="0" xr:uid="{5A73E708-16F3-4492-A49F-BFC6E026209D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D4" authorId="0" shapeId="0" xr:uid="{A3C581AB-8DA6-4673-BF52-748B19FA4185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E4" authorId="0" shapeId="0" xr:uid="{313E7DE8-E9CD-44F5-B3FF-B8317FBF9C0E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F4" authorId="0" shapeId="0" xr:uid="{65B4524B-0399-4025-8DA4-1670C9EF7897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G4" authorId="1" shapeId="0" xr:uid="{FAE873A1-7BE6-4206-AB91-1C6BBEAAB062}">
      <text>
        <r>
          <rPr>
            <sz val="9"/>
            <color indexed="81"/>
            <rFont val="Tahoma"/>
            <family val="2"/>
          </rPr>
          <t xml:space="preserve">No data available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C2" authorId="0" shapeId="0" xr:uid="{6EA73FD5-851B-4BDA-A24C-6E1ACF09036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2" authorId="0" shapeId="0" xr:uid="{08FC2F08-55EB-4763-A78D-4213A16100A5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2" authorId="0" shapeId="0" xr:uid="{2CDEB291-5027-4124-8895-22202AF62E1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2" authorId="0" shapeId="0" xr:uid="{28CFAEC7-8638-4087-8B59-48A2ACBA995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2" authorId="0" shapeId="0" xr:uid="{0E82F04F-9EAB-4669-91F0-E62CB190CF9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2" authorId="0" shapeId="0" xr:uid="{09BF2688-FE6B-4EEE-9FF3-6A5955E423B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2" authorId="0" shapeId="0" xr:uid="{33CBC2D9-9CDD-4555-BDE4-E2ECB31C777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2" authorId="0" shapeId="0" xr:uid="{FA2538C6-D23C-4A4D-8D5F-C2D46E806E7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2" authorId="0" shapeId="0" xr:uid="{BA5B6F69-C95B-49FC-A7B7-04E4FBA54F64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2" authorId="0" shapeId="0" xr:uid="{D5072859-9A97-4491-9DB7-573563170C0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2" authorId="0" shapeId="0" xr:uid="{B72196E3-6F77-459B-8F63-1DD510F0400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2" authorId="0" shapeId="0" xr:uid="{19B4FE78-2E9A-4CF2-9933-1D0020AEA3E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2" authorId="0" shapeId="0" xr:uid="{3AE42B09-023A-4967-B16C-54894F8A575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2" authorId="0" shapeId="0" xr:uid="{004AD178-133C-4C1D-9381-21AEFBA563B7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4" authorId="0" shapeId="0" xr:uid="{8070009B-6222-423B-94C2-F9499FFB90F1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4" authorId="0" shapeId="0" xr:uid="{8893FEC6-B90F-42A0-A4CF-CC4D22C9EEFF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4" authorId="0" shapeId="0" xr:uid="{0A5C12DA-D752-4637-B946-AD8CED8E96C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4" authorId="0" shapeId="0" xr:uid="{763CD166-0DE0-4B7A-87A3-20A88D83816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4" authorId="0" shapeId="0" xr:uid="{E76BF14E-1BC6-4120-9E23-9A9E3AE24A1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4" authorId="0" shapeId="0" xr:uid="{D05D252E-D5AF-41BD-B842-7A676DE270C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4" authorId="0" shapeId="0" xr:uid="{B616C6FE-ED53-4EF9-95C3-9882655B216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4" authorId="0" shapeId="0" xr:uid="{43BABE25-59D4-44F5-9353-3160AA74CE4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4" authorId="0" shapeId="0" xr:uid="{C58CEB09-1554-47AA-B4B0-208C975AC62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4" authorId="0" shapeId="0" xr:uid="{87222C98-4821-46FC-BCA7-34C5981F09D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4" authorId="0" shapeId="0" xr:uid="{86129B29-79FE-443D-94DC-30356007AA2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4" authorId="0" shapeId="0" xr:uid="{4ECCAB0E-5E20-42B8-BB60-B19CE11723D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4" authorId="0" shapeId="0" xr:uid="{5EB75D82-DCDC-4F4C-BDB6-B0F43103A0EC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4" authorId="0" shapeId="0" xr:uid="{554934A3-94F9-4AF6-A83C-321137FB852E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C13" authorId="0" shapeId="0" xr:uid="{1DDF3A6B-511D-48B3-B2DB-67729D26CBC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D13" authorId="0" shapeId="0" xr:uid="{519AFF80-E045-4F5D-8960-93EEBE7FBC1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E13" authorId="0" shapeId="0" xr:uid="{3D56CF68-C7BE-474D-B125-2F6FB36590CD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F13" authorId="0" shapeId="0" xr:uid="{C909483B-7820-4077-8A09-A1FE2F637CEA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G13" authorId="0" shapeId="0" xr:uid="{C7DFE33F-8266-447C-A65C-EF31552F0FC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H13" authorId="0" shapeId="0" xr:uid="{8344D2DC-1654-4ECF-AE19-4B41E4102008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I13" authorId="0" shapeId="0" xr:uid="{2387C9DE-F9E0-4557-AEF3-29B2A1FF8CFB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J13" authorId="0" shapeId="0" xr:uid="{1486E158-1F19-4D5C-BDE3-3C7DA99F637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K13" authorId="0" shapeId="0" xr:uid="{09EE5415-11AF-4AC9-93B8-EA370385D873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L13" authorId="0" shapeId="0" xr:uid="{9EBF7841-E090-4699-82A1-950042DD0879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M13" authorId="0" shapeId="0" xr:uid="{0164DC90-F14A-48C3-86D7-264EEA766B46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N13" authorId="0" shapeId="0" xr:uid="{F76233D0-0654-43AD-8083-CC68992DC1A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O13" authorId="0" shapeId="0" xr:uid="{3F3A3D6A-6B34-4951-B181-4BE34A3FF2F0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  <comment ref="P13" authorId="0" shapeId="0" xr:uid="{6DBC7CBA-0D7A-451C-8AAB-4A54B5E80312}">
      <text>
        <r>
          <rPr>
            <sz val="9"/>
            <color indexed="81"/>
            <rFont val="Tahoma"/>
            <charset val="1"/>
          </rPr>
          <t>Source: IMHE, GBD 2017 (Country level)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B2" authorId="0" shapeId="0" xr:uid="{1ECB320B-6E32-4A3B-889A-C0E5E7910957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" authorId="0" shapeId="0" xr:uid="{9EADDCFB-AD25-4E4D-AE81-4686B8365D92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3" authorId="0" shapeId="0" xr:uid="{A440BD76-2C1E-41F2-A530-78FD387DF3D5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3" authorId="0" shapeId="0" xr:uid="{7B4905C3-B920-4F05-87CA-D10A26EEA53C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D4" authorId="0" shapeId="0" xr:uid="{B86D696F-2A48-466A-B817-E42E316F23A2}">
      <text>
        <r>
          <rPr>
            <sz val="9"/>
            <color indexed="81"/>
            <rFont val="Tahoma"/>
            <charset val="1"/>
          </rPr>
          <t>Source: 10% of GDP per capita</t>
        </r>
      </text>
    </comment>
    <comment ref="D5" authorId="0" shapeId="0" xr:uid="{794F1D84-DC6B-4D2F-81A2-CC1238148DE2}">
      <text>
        <r>
          <rPr>
            <sz val="9"/>
            <color indexed="81"/>
            <rFont val="Tahoma"/>
            <charset val="1"/>
          </rPr>
          <t>Source: Personnel wages based on 2016 GDP per capita and time requirements estimated by authors</t>
        </r>
      </text>
    </comment>
    <comment ref="B7" authorId="0" shapeId="0" xr:uid="{75B314F2-4829-4BC5-B94D-D2BE7BD38CDC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7" authorId="0" shapeId="0" xr:uid="{EF16EE93-3869-4194-BCA0-8CD1EE8791F1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8" authorId="0" shapeId="0" xr:uid="{2D16E193-7A4B-47B0-96A9-4082F9FE5080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8" authorId="0" shapeId="0" xr:uid="{750B4460-7D7D-49C1-B31D-3B5EB59EDAD6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9" authorId="0" shapeId="0" xr:uid="{EB8CF5BE-B64C-49C3-ABE1-DDAC15ECBB59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9" authorId="0" shapeId="0" xr:uid="{9765978E-08FE-444B-8D7C-ACB73BC13280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10" authorId="0" shapeId="0" xr:uid="{59EF14B8-62EC-4E2A-B40C-41236963DD7A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0" authorId="0" shapeId="0" xr:uid="{34977793-31AE-4F22-B3DC-1ECC30FFE8CA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1" authorId="0" shapeId="0" xr:uid="{8EF18EB9-C5C8-48C3-8CC2-F21B91CBC417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1" authorId="0" shapeId="0" xr:uid="{253E4476-4A48-4B64-9FF9-A69D1E37D0D0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2" authorId="0" shapeId="0" xr:uid="{7CC846E3-542F-485D-8BB1-84C7E8CCE578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2" authorId="0" shapeId="0" xr:uid="{44F2A183-BA6B-4441-92BA-01BAF1ACB5EA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3" authorId="0" shapeId="0" xr:uid="{F9B7DCD0-E341-46F3-A2E6-11984FA888E3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13" authorId="0" shapeId="0" xr:uid="{2EE3E0BB-ECA6-4678-890D-6F9733EF8AB9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4" authorId="0" shapeId="0" xr:uid="{8D166914-EDA1-4CED-99A9-F6339A9E619D}">
      <text>
        <r>
          <rPr>
            <sz val="9"/>
            <color indexed="81"/>
            <rFont val="Tahoma"/>
            <charset val="1"/>
          </rPr>
          <t>Source: LiST</t>
        </r>
      </text>
    </comment>
    <comment ref="D14" authorId="0" shapeId="0" xr:uid="{A6A2930B-F323-4DF3-AEA6-3B083471C967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5" authorId="0" shapeId="0" xr:uid="{41DBD833-3DD2-48A0-9182-BB24AA04EFE6}">
      <text>
        <r>
          <rPr>
            <sz val="9"/>
            <color indexed="81"/>
            <rFont val="Tahoma"/>
            <charset val="1"/>
          </rPr>
          <t>Source: LiST</t>
        </r>
      </text>
    </comment>
    <comment ref="D15" authorId="0" shapeId="0" xr:uid="{9B4DAF0B-61EC-49A5-9C38-0278A25C0497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6" authorId="0" shapeId="0" xr:uid="{6AE459D3-AD2D-4735-9707-78EE94FC220A}">
      <text>
        <r>
          <rPr>
            <sz val="9"/>
            <color indexed="81"/>
            <rFont val="Tahoma"/>
            <charset val="1"/>
          </rPr>
          <t>Source: LiST</t>
        </r>
      </text>
    </comment>
    <comment ref="D16" authorId="0" shapeId="0" xr:uid="{4DD51BF4-5730-497D-BEAA-9988A5DBC877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7" authorId="0" shapeId="0" xr:uid="{B4C79D9B-A2F9-4099-86F7-32E87974D745}">
      <text>
        <r>
          <rPr>
            <sz val="9"/>
            <color indexed="81"/>
            <rFont val="Tahoma"/>
            <charset val="1"/>
          </rPr>
          <t>Source: UNICEF State of the World's Children coverage map 2017 &lt;http://www.ign.org/cm_data/UNICEF_map.jpg&gt;</t>
        </r>
      </text>
    </comment>
    <comment ref="D17" authorId="0" shapeId="0" xr:uid="{953CFC0A-046B-43C8-A8B1-F74989387AA4}">
      <text>
        <r>
          <rPr>
            <sz val="9"/>
            <color indexed="81"/>
            <rFont val="Tahoma"/>
            <charset val="1"/>
          </rPr>
          <t>Source: Costing based upon estimates by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18" authorId="0" shapeId="0" xr:uid="{54912DE4-2C8C-4561-AEAE-2986E2990FB1}">
      <text>
        <r>
          <rPr>
            <sz val="9"/>
            <color indexed="81"/>
            <rFont val="Tahoma"/>
            <charset val="1"/>
          </rPr>
          <t>Source: LiST</t>
        </r>
      </text>
    </comment>
    <comment ref="D18" authorId="0" shapeId="0" xr:uid="{A4C8CA84-5FCB-46D8-ADB7-311FD6B542E0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19" authorId="0" shapeId="0" xr:uid="{C425B689-B8B8-425B-AD4A-72EED814D97F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D20" authorId="0" shapeId="0" xr:uid="{15D8DF50-E116-4F1D-BDE8-46E674847872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21" authorId="0" shapeId="0" xr:uid="{3FE68FB8-659F-4445-906E-7B10FDB1273C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1" authorId="0" shapeId="0" xr:uid="{B36AC261-16DE-4B76-B6BC-77D3DD3B2845}">
      <text>
        <r>
          <rPr>
            <sz val="9"/>
            <color indexed="81"/>
            <rFont val="Tahoma"/>
            <charset val="1"/>
          </rPr>
          <t>Source: Personnel wages based on 2016 GDP per capita and time requirements estimated by authors</t>
        </r>
      </text>
    </comment>
    <comment ref="D22" authorId="0" shapeId="0" xr:uid="{608F25C2-F5D9-4BAE-B763-B01FC5E84D71}">
      <text>
        <r>
          <rPr>
            <sz val="9"/>
            <color indexed="81"/>
            <rFont val="Tahoma"/>
            <charset val="1"/>
          </rPr>
          <t xml:space="preserve">Source: </t>
        </r>
      </text>
    </comment>
    <comment ref="B23" authorId="0" shapeId="0" xr:uid="{1F22F9DE-B41C-490D-A314-ACCD75BDDEE4}">
      <text>
        <r>
          <rPr>
            <sz val="9"/>
            <color indexed="81"/>
            <rFont val="Tahoma"/>
            <charset val="1"/>
          </rPr>
          <t>Source: LiST</t>
        </r>
      </text>
    </comment>
    <comment ref="D23" authorId="0" shapeId="0" xr:uid="{1D557B9E-B362-43D0-BE63-A3672EF7074F}">
      <text>
        <r>
          <rPr>
            <sz val="9"/>
            <color indexed="81"/>
            <rFont val="Tahoma"/>
            <charset val="1"/>
          </rPr>
          <t>Source: Material costs taken from 2014 WHO International Drug Pricing &lt;http://apps.who.int/medicinedocs/documents/s21982en/s21982en.pdf&gt;,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4" authorId="0" shapeId="0" xr:uid="{24344C7C-40F6-485D-80B1-7F46BFE40895}">
      <text>
        <r>
          <rPr>
            <sz val="9"/>
            <color indexed="81"/>
            <rFont val="Tahoma"/>
            <charset val="1"/>
          </rPr>
          <t>Source: LiST</t>
        </r>
      </text>
    </comment>
    <comment ref="D24" authorId="0" shapeId="0" xr:uid="{9BE58ABB-084B-488E-BC83-B5AED26D5081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5" authorId="0" shapeId="0" xr:uid="{18B7CD88-4D6D-4C95-836F-54309D3B7275}">
      <text>
        <r>
          <rPr>
            <sz val="9"/>
            <color indexed="81"/>
            <rFont val="Tahoma"/>
            <charset val="1"/>
          </rPr>
          <t>Source: LiST</t>
        </r>
      </text>
    </comment>
    <comment ref="D25" authorId="0" shapeId="0" xr:uid="{A8071250-36E3-42FC-9606-227B4CF427B9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6" authorId="0" shapeId="0" xr:uid="{EC7F9366-C35B-4D3F-B7EA-933AC1CCB8AC}">
      <text>
        <r>
          <rPr>
            <sz val="9"/>
            <color indexed="81"/>
            <rFont val="Tahoma"/>
            <charset val="1"/>
          </rPr>
          <t>Source: LiST</t>
        </r>
      </text>
    </comment>
    <comment ref="D26" authorId="0" shapeId="0" xr:uid="{E89A4968-96F0-41C1-BB2A-BDFEA0F7B3F8}">
      <text>
        <r>
          <rPr>
            <sz val="9"/>
            <color indexed="81"/>
            <rFont val="Tahoma"/>
            <charset val="1"/>
          </rPr>
          <t>Source: Drug dosages taken from WHO eLENA, drug costs taken from UNICEF pricing list at &lt;https://www.unicef.org/supply/files/Micro_Nutrient_Powder_-_September_2016(1).pdf&gt;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7" authorId="0" shapeId="0" xr:uid="{946F735E-E7F8-4D75-80B7-C5ABAD79BC5E}">
      <text>
        <r>
          <rPr>
            <sz val="9"/>
            <color indexed="81"/>
            <rFont val="Tahoma"/>
            <charset val="1"/>
          </rPr>
          <t>Source: No data available</t>
        </r>
      </text>
    </comment>
    <comment ref="D27" authorId="0" shapeId="0" xr:uid="{D39EED28-7623-42AD-85A8-66865512F8C0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28" authorId="0" shapeId="0" xr:uid="{9D3EE4B4-8186-4CD0-BE82-C7B754203CF7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D28" authorId="0" shapeId="0" xr:uid="{8717EA9C-DA00-4331-A97A-CE50EC7E7FD2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29" authorId="0" shapeId="0" xr:uid="{9027B01C-4C80-4C97-AFB1-5729F365233B}">
      <text>
        <r>
          <rPr>
            <sz val="9"/>
            <color indexed="81"/>
            <rFont val="Tahoma"/>
            <charset val="1"/>
          </rPr>
          <t>Source: LiST</t>
        </r>
      </text>
    </comment>
    <comment ref="D29" authorId="0" shapeId="0" xr:uid="{81FEA933-CA7D-459B-B6F7-9B8D8D9C2422}">
      <text>
        <r>
          <rPr>
            <sz val="9"/>
            <color indexed="81"/>
            <rFont val="Tahoma"/>
            <charset val="1"/>
          </rPr>
          <t>Source: An Investment Framework for Nutrition: Reaching the Global Targets for Stunting, Anemia, Breastfeeding and Wasting Appendix C &lt;http://www.worldbank.org/en/topic/nutrition/publication/an-investment-framework-for-nutrition-reaching-the-global-targets-for-stunting-anemia-breastfeeding-wasting&gt; (Region level) [2015 value, adjusted for inflation]</t>
        </r>
      </text>
    </comment>
    <comment ref="B30" authorId="0" shapeId="0" xr:uid="{AACAA719-850A-4EEC-9AF1-E20A390C52B2}">
      <text>
        <r>
          <rPr>
            <sz val="9"/>
            <color indexed="81"/>
            <rFont val="Tahoma"/>
            <charset val="1"/>
          </rPr>
          <t>Source: LiST</t>
        </r>
      </text>
    </comment>
    <comment ref="D30" authorId="0" shapeId="0" xr:uid="{6FC7B243-388F-47D2-8BFF-9EDF79E039C5}">
      <text>
        <r>
          <rPr>
            <sz val="9"/>
            <color indexed="81"/>
            <rFont val="Tahoma"/>
            <charset val="1"/>
          </rPr>
          <t xml:space="preserve">Source: </t>
        </r>
      </text>
    </comment>
    <comment ref="B31" authorId="0" shapeId="0" xr:uid="{92A5DEFE-9B52-4D0F-8266-930EE67A9440}">
      <text>
        <r>
          <rPr>
            <sz val="9"/>
            <color indexed="81"/>
            <rFont val="Tahoma"/>
            <charset val="1"/>
          </rPr>
          <t>Source: LiST/DHS (Region level)</t>
        </r>
      </text>
    </comment>
    <comment ref="D31" authorId="0" shapeId="0" xr:uid="{2A9903FF-54F7-4578-9261-B033D373E2EB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32" authorId="0" shapeId="0" xr:uid="{38CDDEDA-F5C6-4FFB-BA63-B6A8428E4942}">
      <text>
        <r>
          <rPr>
            <sz val="9"/>
            <color indexed="81"/>
            <rFont val="Tahoma"/>
            <charset val="1"/>
          </rPr>
          <t>Source: LiST</t>
        </r>
      </text>
    </comment>
    <comment ref="B33" authorId="0" shapeId="0" xr:uid="{F1B42EBF-50C3-407D-B2C0-C7D9580DEF9F}">
      <text>
        <r>
          <rPr>
            <sz val="9"/>
            <color indexed="81"/>
            <rFont val="Tahoma"/>
            <charset val="1"/>
          </rPr>
          <t>Source: LiST</t>
        </r>
      </text>
    </comment>
    <comment ref="B34" authorId="0" shapeId="0" xr:uid="{14A83EC1-EA69-4CB4-A998-350523D17D04}">
      <text>
        <r>
          <rPr>
            <sz val="9"/>
            <color indexed="81"/>
            <rFont val="Tahoma"/>
            <charset val="1"/>
          </rPr>
          <t>Source: LiST</t>
        </r>
      </text>
    </comment>
    <comment ref="B35" authorId="0" shapeId="0" xr:uid="{CC415C6E-E849-4BE0-81D1-DF2B6CBF2DCA}">
      <text>
        <r>
          <rPr>
            <sz val="9"/>
            <color indexed="81"/>
            <rFont val="Tahoma"/>
            <charset val="1"/>
          </rPr>
          <t>Source: LiST</t>
        </r>
      </text>
    </comment>
    <comment ref="B36" authorId="0" shapeId="0" xr:uid="{C334DB5F-1684-4017-911A-E0B6EBECEF17}">
      <text>
        <r>
          <rPr>
            <sz val="9"/>
            <color indexed="81"/>
            <rFont val="Tahoma"/>
            <charset val="1"/>
          </rPr>
          <t>Source: LiST</t>
        </r>
      </text>
    </comment>
    <comment ref="B37" authorId="0" shapeId="0" xr:uid="{9859438E-7486-4B75-99D2-66E5BF7275A9}">
      <text>
        <r>
          <rPr>
            <sz val="9"/>
            <color indexed="81"/>
            <rFont val="Tahoma"/>
            <charset val="1"/>
          </rPr>
          <t>Source: LiST</t>
        </r>
      </text>
    </comment>
    <comment ref="D37" authorId="0" shapeId="0" xr:uid="{7EA49793-6B06-4B5E-A515-BC095682E5EC}">
      <text>
        <r>
          <rPr>
            <sz val="9"/>
            <color indexed="81"/>
            <rFont val="Tahoma"/>
            <charset val="1"/>
          </rPr>
          <t>Source: Material costs taken from OneHealth,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  <comment ref="B38" authorId="0" shapeId="0" xr:uid="{BF6E4871-F086-414E-A45E-EF580421B7CF}">
      <text>
        <r>
          <rPr>
            <sz val="9"/>
            <color indexed="81"/>
            <rFont val="Tahoma"/>
            <charset val="1"/>
          </rPr>
          <t>Source: DHS</t>
        </r>
      </text>
    </comment>
    <comment ref="D38" authorId="0" shapeId="0" xr:uid="{41AB79B0-37E8-4A0A-9B78-39D85F9B5DBF}">
      <text>
        <r>
          <rPr>
            <sz val="9"/>
            <color indexed="81"/>
            <rFont val="Tahoma"/>
            <charset val="1"/>
          </rPr>
          <t>Source: Drug dosages taken from WHO eLENA, drug costs taken from 2014 WHO International Drug Pricing &lt;http://apps.who.int/medicinedocs/documents/s21982en/s21982en.pdf&gt; and adjusted for inflation, personnel wages based on 2016 GDP per capita and time requirements based upon Bhutta et al. in 'Evidence-based interventions for improvement of maternal and child nutrition: what can be done and at what cost?' &lt;https://www.thelancet.com/journals/lancet/article/PIIS0140-6736(13)60996-4/fulltext&gt;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<sst xmlns="http://schemas.openxmlformats.org/spreadsheetml/2006/main" count="1102" uniqueCount="271">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</sst>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9" fillId="3" borderId="1" xfId="725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7" zoomScaleNormal="100" workbookViewId="0">
      <selection activeCell="C45" sqref="C45"/>
    </sheetView>
  </sheetViews>
  <sheetFormatPr defaultColWidth="14.453125" defaultRowHeight="15.75" customHeight="1" x14ac:dyDescent="0.25"/>
  <cols>
    <col min="1" max="1" width="27.7265625" style="12" customWidth="1"/>
    <col min="2" max="2" width="38.7265625" style="16" customWidth="1"/>
    <col min="3" max="16384" width="14.453125" style="12"/>
  </cols>
  <sheetData>
    <row r="1" spans="1:3" ht="16" customHeight="1" x14ac:dyDescent="0.3">
      <c r="A1" s="1" t="s">
        <v>100</v>
      </c>
      <c r="B1" s="41" t="s">
        <v>164</v>
      </c>
      <c r="C1" s="41" t="s">
        <v>165</v>
      </c>
    </row>
    <row r="2" spans="1:3" ht="16" customHeight="1" x14ac:dyDescent="0.3">
      <c r="A2" s="12" t="s">
        <v>191</v>
      </c>
      <c r="B2" s="41"/>
      <c r="C2" s="41"/>
    </row>
    <row r="3" spans="1:3" ht="16" customHeight="1" x14ac:dyDescent="0.3">
      <c r="A3" s="1"/>
      <c r="B3" s="7" t="s">
        <v>193</v>
      </c>
      <c r="C3" s="67">
        <v>2017</v>
      </c>
    </row>
    <row r="4" spans="1:3" ht="16" customHeight="1" x14ac:dyDescent="0.3">
      <c r="A4" s="1"/>
      <c r="B4" s="9" t="s">
        <v>192</v>
      </c>
      <c r="C4" s="68">
        <v>2030</v>
      </c>
    </row>
    <row r="5" spans="1:3" ht="16" customHeight="1" x14ac:dyDescent="0.3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4114449</v>
      </c>
    </row>
    <row r="8" spans="1:3" ht="15" customHeight="1" x14ac:dyDescent="0.25">
      <c r="B8" s="7" t="s">
        <v>106</v>
      </c>
      <c r="C8" s="70">
        <v>0.48599999999999999</v>
      </c>
    </row>
    <row r="9" spans="1:3" ht="15" customHeight="1" x14ac:dyDescent="0.25">
      <c r="B9" s="9" t="s">
        <v>107</v>
      </c>
      <c r="C9" s="71">
        <v>0.47</v>
      </c>
    </row>
    <row r="10" spans="1:3" ht="15" customHeight="1" x14ac:dyDescent="0.25">
      <c r="B10" s="9" t="s">
        <v>105</v>
      </c>
      <c r="C10" s="71">
        <v>0.39787429809570296</v>
      </c>
    </row>
    <row r="11" spans="1:3" ht="15" customHeight="1" x14ac:dyDescent="0.25">
      <c r="B11" s="7" t="s">
        <v>108</v>
      </c>
      <c r="C11" s="70">
        <v>0.251</v>
      </c>
    </row>
    <row r="12" spans="1:3" ht="15" customHeight="1" x14ac:dyDescent="0.25">
      <c r="B12" s="7" t="s">
        <v>109</v>
      </c>
      <c r="C12" s="70">
        <v>0.34</v>
      </c>
    </row>
    <row r="13" spans="1:3" ht="15" customHeight="1" x14ac:dyDescent="0.25">
      <c r="B13" s="7" t="s">
        <v>110</v>
      </c>
      <c r="C13" s="70">
        <v>0.53100000000000003</v>
      </c>
    </row>
    <row r="14" spans="1:3" ht="15" customHeight="1" x14ac:dyDescent="0.25">
      <c r="B14" s="12"/>
    </row>
    <row r="15" spans="1:3" ht="15" customHeight="1" x14ac:dyDescent="0.3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8.5299999999999987E-2</v>
      </c>
    </row>
    <row r="24" spans="1:3" ht="15" customHeight="1" x14ac:dyDescent="0.25">
      <c r="B24" s="20" t="s">
        <v>102</v>
      </c>
      <c r="C24" s="71">
        <v>0.48899999999999999</v>
      </c>
    </row>
    <row r="25" spans="1:3" ht="15" customHeight="1" x14ac:dyDescent="0.25">
      <c r="B25" s="20" t="s">
        <v>103</v>
      </c>
      <c r="C25" s="71">
        <v>0.35580000000000001</v>
      </c>
    </row>
    <row r="26" spans="1:3" ht="15" customHeight="1" x14ac:dyDescent="0.25">
      <c r="B26" s="20" t="s">
        <v>104</v>
      </c>
      <c r="C26" s="71">
        <v>0.1099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0.218</v>
      </c>
    </row>
    <row r="30" spans="1:3" ht="14.25" customHeight="1" x14ac:dyDescent="0.25">
      <c r="B30" s="30" t="s">
        <v>76</v>
      </c>
      <c r="C30" s="73">
        <v>7.4999999999999997E-2</v>
      </c>
    </row>
    <row r="31" spans="1:3" ht="14.25" customHeight="1" x14ac:dyDescent="0.25">
      <c r="B31" s="30" t="s">
        <v>77</v>
      </c>
      <c r="C31" s="73">
        <v>0.11900000000000001</v>
      </c>
    </row>
    <row r="32" spans="1:3" ht="14.25" customHeight="1" x14ac:dyDescent="0.25">
      <c r="B32" s="30" t="s">
        <v>78</v>
      </c>
      <c r="C32" s="73">
        <v>0.58800000001490116</v>
      </c>
    </row>
    <row r="33" spans="1:5" ht="13" x14ac:dyDescent="0.25">
      <c r="B33" s="32" t="s">
        <v>129</v>
      </c>
      <c r="C33" s="74">
        <f>SUM(C29:C32)</f>
        <v>1.0000000000149012</v>
      </c>
    </row>
    <row r="34" spans="1:5" ht="15" customHeight="1" x14ac:dyDescent="0.25"/>
    <row r="35" spans="1:5" ht="15" customHeight="1" x14ac:dyDescent="0.3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27</v>
      </c>
    </row>
    <row r="38" spans="1:5" ht="15" customHeight="1" x14ac:dyDescent="0.25">
      <c r="B38" s="16" t="s">
        <v>91</v>
      </c>
      <c r="C38" s="75">
        <v>43.2</v>
      </c>
      <c r="D38" s="17"/>
      <c r="E38" s="18"/>
    </row>
    <row r="39" spans="1:5" ht="15" customHeight="1" x14ac:dyDescent="0.25">
      <c r="B39" s="16" t="s">
        <v>90</v>
      </c>
      <c r="C39" s="75">
        <v>55.4</v>
      </c>
      <c r="D39" s="17"/>
      <c r="E39" s="17"/>
    </row>
    <row r="40" spans="1:5" ht="15" customHeight="1" x14ac:dyDescent="0.25">
      <c r="B40" s="16" t="s">
        <v>171</v>
      </c>
      <c r="C40" s="75">
        <v>3.85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29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2.9399999999999999E-2</v>
      </c>
      <c r="D45" s="17"/>
    </row>
    <row r="46" spans="1:5" ht="15.75" customHeight="1" x14ac:dyDescent="0.25">
      <c r="B46" s="16" t="s">
        <v>11</v>
      </c>
      <c r="C46" s="71">
        <v>0.1024</v>
      </c>
      <c r="D46" s="17"/>
    </row>
    <row r="47" spans="1:5" ht="15.75" customHeight="1" x14ac:dyDescent="0.25">
      <c r="B47" s="16" t="s">
        <v>12</v>
      </c>
      <c r="C47" s="71">
        <v>0.39399999999999996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0.47420000000000007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6.2433114033049995</v>
      </c>
      <c r="D51" s="17"/>
    </row>
    <row r="52" spans="1:4" ht="15" customHeight="1" x14ac:dyDescent="0.25">
      <c r="B52" s="16" t="s">
        <v>125</v>
      </c>
      <c r="C52" s="76">
        <v>6.0411728511799998</v>
      </c>
    </row>
    <row r="53" spans="1:4" ht="15.75" customHeight="1" x14ac:dyDescent="0.25">
      <c r="B53" s="16" t="s">
        <v>126</v>
      </c>
      <c r="C53" s="76">
        <v>6.0411728511799998</v>
      </c>
    </row>
    <row r="54" spans="1:4" ht="15.75" customHeight="1" x14ac:dyDescent="0.25">
      <c r="B54" s="16" t="s">
        <v>127</v>
      </c>
      <c r="C54" s="76">
        <v>4.4073019356999898</v>
      </c>
    </row>
    <row r="55" spans="1:4" ht="15.75" customHeight="1" x14ac:dyDescent="0.25">
      <c r="B55" s="16" t="s">
        <v>128</v>
      </c>
      <c r="C55" s="76">
        <v>4.4073019356999898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2.0593869731800763E-2</v>
      </c>
    </row>
    <row r="59" spans="1:4" ht="15.75" customHeight="1" x14ac:dyDescent="0.25">
      <c r="B59" s="16" t="s">
        <v>132</v>
      </c>
      <c r="C59" s="70">
        <v>0.44108751416169206</v>
      </c>
    </row>
    <row r="63" spans="1:4" ht="15.75" customHeight="1" x14ac:dyDescent="0.3">
      <c r="A63" s="4"/>
    </row>
  </sheetData>
  <sheetProtection password="CA9F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C19" sqref="C19"/>
    </sheetView>
  </sheetViews>
  <sheetFormatPr defaultColWidth="14.453125" defaultRowHeight="15.75" customHeight="1" x14ac:dyDescent="0.25"/>
  <cols>
    <col min="1" max="1" width="8.453125" style="12" customWidth="1"/>
    <col min="2" max="9" width="16.81640625" style="12" customWidth="1"/>
    <col min="10" max="16384" width="14.453125" style="12"/>
  </cols>
  <sheetData>
    <row r="1" spans="1:9" s="21" customFormat="1" ht="30" customHeight="1" x14ac:dyDescent="0.3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2017</v>
      </c>
      <c r="B2" s="77">
        <v>876525.78133999999</v>
      </c>
      <c r="C2" s="78">
        <v>1511688</v>
      </c>
      <c r="D2" s="78">
        <v>2736461</v>
      </c>
      <c r="E2" s="78">
        <v>1830293</v>
      </c>
      <c r="F2" s="78">
        <v>999022</v>
      </c>
      <c r="G2" s="22">
        <f t="shared" ref="G2:G40" si="0">C2+D2+E2+F2</f>
        <v>7077464</v>
      </c>
      <c r="H2" s="22">
        <f t="shared" ref="H2:H40" si="1">(B2 + stillbirth*B2/(1000-stillbirth))/(1-abortion)</f>
        <v>1037591.0381997467</v>
      </c>
      <c r="I2" s="22">
        <f>G2-H2</f>
        <v>6039872.961800253</v>
      </c>
    </row>
    <row r="3" spans="1:9" ht="15.75" customHeight="1" x14ac:dyDescent="0.25">
      <c r="A3" s="7">
        <f t="shared" ref="A3:A40" si="2">IF($A$2+ROW(A3)-2&lt;=end_year,A2+1,"")</f>
        <v>2018</v>
      </c>
      <c r="B3" s="77">
        <v>879575.02333333332</v>
      </c>
      <c r="C3" s="78">
        <v>1535000</v>
      </c>
      <c r="D3" s="78">
        <v>2782000</v>
      </c>
      <c r="E3" s="78">
        <v>1917000</v>
      </c>
      <c r="F3" s="78">
        <v>1050000</v>
      </c>
      <c r="G3" s="22">
        <f t="shared" si="0"/>
        <v>7284000</v>
      </c>
      <c r="H3" s="22">
        <f t="shared" si="1"/>
        <v>1041200.5910879095</v>
      </c>
      <c r="I3" s="22">
        <f t="shared" ref="I3:I15" si="3">G3-H3</f>
        <v>6242799.4089120906</v>
      </c>
    </row>
    <row r="4" spans="1:9" ht="15.75" customHeight="1" x14ac:dyDescent="0.25">
      <c r="A4" s="7">
        <f t="shared" si="2"/>
        <v>2019</v>
      </c>
      <c r="B4" s="77">
        <v>881829.1</v>
      </c>
      <c r="C4" s="78">
        <v>1561000</v>
      </c>
      <c r="D4" s="78">
        <v>2822000</v>
      </c>
      <c r="E4" s="78">
        <v>2006000</v>
      </c>
      <c r="F4" s="78">
        <v>1109000</v>
      </c>
      <c r="G4" s="22">
        <f t="shared" si="0"/>
        <v>7498000</v>
      </c>
      <c r="H4" s="22">
        <f t="shared" si="1"/>
        <v>1043868.8637143837</v>
      </c>
      <c r="I4" s="22">
        <f t="shared" si="3"/>
        <v>6454131.1362856161</v>
      </c>
    </row>
    <row r="5" spans="1:9" ht="15.75" customHeight="1" x14ac:dyDescent="0.25">
      <c r="A5" s="7">
        <f t="shared" si="2"/>
        <v>2020</v>
      </c>
      <c r="B5" s="77">
        <v>883274.98</v>
      </c>
      <c r="C5" s="78">
        <v>1588000</v>
      </c>
      <c r="D5" s="78">
        <v>2856000</v>
      </c>
      <c r="E5" s="78">
        <v>2095000</v>
      </c>
      <c r="F5" s="78">
        <v>1174000</v>
      </c>
      <c r="G5" s="22">
        <f t="shared" si="0"/>
        <v>7713000</v>
      </c>
      <c r="H5" s="22">
        <f t="shared" si="1"/>
        <v>1045580.430176261</v>
      </c>
      <c r="I5" s="22">
        <f t="shared" si="3"/>
        <v>6667419.5698237391</v>
      </c>
    </row>
    <row r="6" spans="1:9" ht="15.75" customHeight="1" x14ac:dyDescent="0.25">
      <c r="A6" s="7">
        <f t="shared" si="2"/>
        <v>2021</v>
      </c>
      <c r="B6" s="77">
        <v>885346.67979999993</v>
      </c>
      <c r="C6" s="78">
        <v>1616000</v>
      </c>
      <c r="D6" s="78">
        <v>2887000</v>
      </c>
      <c r="E6" s="78">
        <v>2187000</v>
      </c>
      <c r="F6" s="78">
        <v>1246000</v>
      </c>
      <c r="G6" s="22">
        <f t="shared" si="0"/>
        <v>7936000</v>
      </c>
      <c r="H6" s="22">
        <f t="shared" si="1"/>
        <v>1048032.8134285071</v>
      </c>
      <c r="I6" s="22">
        <f t="shared" si="3"/>
        <v>6887967.1865714928</v>
      </c>
    </row>
    <row r="7" spans="1:9" ht="15.75" customHeight="1" x14ac:dyDescent="0.25">
      <c r="A7" s="7">
        <f t="shared" si="2"/>
        <v>2022</v>
      </c>
      <c r="B7" s="77">
        <v>886641.44960000005</v>
      </c>
      <c r="C7" s="78">
        <v>1645000</v>
      </c>
      <c r="D7" s="78">
        <v>2912000</v>
      </c>
      <c r="E7" s="78">
        <v>2280000</v>
      </c>
      <c r="F7" s="78">
        <v>1326000</v>
      </c>
      <c r="G7" s="22">
        <f t="shared" si="0"/>
        <v>8163000</v>
      </c>
      <c r="H7" s="22">
        <f t="shared" si="1"/>
        <v>1049565.5025628277</v>
      </c>
      <c r="I7" s="22">
        <f t="shared" si="3"/>
        <v>7113434.4974371726</v>
      </c>
    </row>
    <row r="8" spans="1:9" ht="15.75" customHeight="1" x14ac:dyDescent="0.25">
      <c r="A8" s="7">
        <f t="shared" si="2"/>
        <v>2023</v>
      </c>
      <c r="B8" s="77">
        <v>887133.4585999999</v>
      </c>
      <c r="C8" s="78">
        <v>1676000</v>
      </c>
      <c r="D8" s="78">
        <v>2936000</v>
      </c>
      <c r="E8" s="78">
        <v>2370000</v>
      </c>
      <c r="F8" s="78">
        <v>1409000</v>
      </c>
      <c r="G8" s="22">
        <f t="shared" si="0"/>
        <v>8391000</v>
      </c>
      <c r="H8" s="22">
        <f t="shared" si="1"/>
        <v>1050147.9202623197</v>
      </c>
      <c r="I8" s="22">
        <f t="shared" si="3"/>
        <v>7340852.07973768</v>
      </c>
    </row>
    <row r="9" spans="1:9" ht="15.75" customHeight="1" x14ac:dyDescent="0.25">
      <c r="A9" s="7">
        <f t="shared" si="2"/>
        <v>2024</v>
      </c>
      <c r="B9" s="77">
        <v>886853.03519999993</v>
      </c>
      <c r="C9" s="78">
        <v>1709000</v>
      </c>
      <c r="D9" s="78">
        <v>2962000</v>
      </c>
      <c r="E9" s="78">
        <v>2453000</v>
      </c>
      <c r="F9" s="78">
        <v>1496000</v>
      </c>
      <c r="G9" s="22">
        <f t="shared" si="0"/>
        <v>8620000</v>
      </c>
      <c r="H9" s="22">
        <f t="shared" si="1"/>
        <v>1049815.9678965872</v>
      </c>
      <c r="I9" s="22">
        <f t="shared" si="3"/>
        <v>7570184.0321034128</v>
      </c>
    </row>
    <row r="10" spans="1:9" ht="15.75" customHeight="1" x14ac:dyDescent="0.25">
      <c r="A10" s="7">
        <f t="shared" si="2"/>
        <v>2025</v>
      </c>
      <c r="B10" s="77">
        <v>885775.473</v>
      </c>
      <c r="C10" s="78">
        <v>1744000</v>
      </c>
      <c r="D10" s="78">
        <v>2997000</v>
      </c>
      <c r="E10" s="78">
        <v>2526000</v>
      </c>
      <c r="F10" s="78">
        <v>1583000</v>
      </c>
      <c r="G10" s="22">
        <f t="shared" si="0"/>
        <v>8850000</v>
      </c>
      <c r="H10" s="22">
        <f t="shared" si="1"/>
        <v>1048540.399161902</v>
      </c>
      <c r="I10" s="22">
        <f t="shared" si="3"/>
        <v>7801459.6008380977</v>
      </c>
    </row>
    <row r="11" spans="1:9" ht="15.75" customHeight="1" x14ac:dyDescent="0.25">
      <c r="A11" s="7">
        <f t="shared" si="2"/>
        <v>2026</v>
      </c>
      <c r="B11" s="77">
        <v>886691.03399999999</v>
      </c>
      <c r="C11" s="78">
        <v>1779000</v>
      </c>
      <c r="D11" s="78">
        <v>3039000</v>
      </c>
      <c r="E11" s="78">
        <v>2589000</v>
      </c>
      <c r="F11" s="78">
        <v>1668000</v>
      </c>
      <c r="G11" s="22">
        <f t="shared" si="0"/>
        <v>9075000</v>
      </c>
      <c r="H11" s="22">
        <f t="shared" si="1"/>
        <v>1049624.1983024965</v>
      </c>
      <c r="I11" s="22">
        <f t="shared" si="3"/>
        <v>8025375.8016975038</v>
      </c>
    </row>
    <row r="12" spans="1:9" ht="15.75" customHeight="1" x14ac:dyDescent="0.25">
      <c r="A12" s="7">
        <f t="shared" si="2"/>
        <v>2027</v>
      </c>
      <c r="B12" s="77">
        <v>886925.00899999996</v>
      </c>
      <c r="C12" s="78">
        <v>1815000</v>
      </c>
      <c r="D12" s="78">
        <v>3088000</v>
      </c>
      <c r="E12" s="78">
        <v>2644000</v>
      </c>
      <c r="F12" s="78">
        <v>1754000</v>
      </c>
      <c r="G12" s="22">
        <f t="shared" si="0"/>
        <v>9301000</v>
      </c>
      <c r="H12" s="22">
        <f t="shared" si="1"/>
        <v>1049901.1671815997</v>
      </c>
      <c r="I12" s="22">
        <f t="shared" si="3"/>
        <v>8251098.8328184001</v>
      </c>
    </row>
    <row r="13" spans="1:9" ht="15.75" customHeight="1" x14ac:dyDescent="0.25">
      <c r="A13" s="7">
        <f t="shared" si="2"/>
        <v>2028</v>
      </c>
      <c r="B13" s="77">
        <v>886430.37199999997</v>
      </c>
      <c r="C13" s="78">
        <v>1850000</v>
      </c>
      <c r="D13" s="78">
        <v>3143000</v>
      </c>
      <c r="E13" s="78">
        <v>2691000</v>
      </c>
      <c r="F13" s="78">
        <v>1838000</v>
      </c>
      <c r="G13" s="22">
        <f t="shared" si="0"/>
        <v>9522000</v>
      </c>
      <c r="H13" s="22">
        <f t="shared" si="1"/>
        <v>1049315.6385761804</v>
      </c>
      <c r="I13" s="22">
        <f t="shared" si="3"/>
        <v>8472684.3614238203</v>
      </c>
    </row>
    <row r="14" spans="1:9" ht="15.75" customHeight="1" x14ac:dyDescent="0.25">
      <c r="A14" s="7">
        <f t="shared" si="2"/>
        <v>2029</v>
      </c>
      <c r="B14" s="77">
        <v>885237.35600000003</v>
      </c>
      <c r="C14" s="78">
        <v>1883000</v>
      </c>
      <c r="D14" s="78">
        <v>3203000</v>
      </c>
      <c r="E14" s="78">
        <v>2731000</v>
      </c>
      <c r="F14" s="78">
        <v>1926000</v>
      </c>
      <c r="G14" s="22">
        <f t="shared" si="0"/>
        <v>9743000</v>
      </c>
      <c r="H14" s="22">
        <f t="shared" si="1"/>
        <v>1047903.4009256958</v>
      </c>
      <c r="I14" s="22">
        <f t="shared" si="3"/>
        <v>8695096.5990743041</v>
      </c>
    </row>
    <row r="15" spans="1:9" ht="15.75" customHeight="1" x14ac:dyDescent="0.25">
      <c r="A15" s="7">
        <f t="shared" si="2"/>
        <v>2030</v>
      </c>
      <c r="B15" s="77">
        <v>883302.29500000004</v>
      </c>
      <c r="C15" s="78">
        <v>1911000</v>
      </c>
      <c r="D15" s="78">
        <v>3264000</v>
      </c>
      <c r="E15" s="78">
        <v>2767000</v>
      </c>
      <c r="F15" s="78">
        <v>2014000</v>
      </c>
      <c r="G15" s="22">
        <f t="shared" si="0"/>
        <v>9956000</v>
      </c>
      <c r="H15" s="22">
        <f t="shared" si="1"/>
        <v>1045612.764421085</v>
      </c>
      <c r="I15" s="22">
        <f t="shared" si="3"/>
        <v>8910387.2355789151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>
        <v>110</v>
      </c>
      <c r="C17" s="77"/>
      <c r="D17" s="78"/>
      <c r="E17" s="78"/>
      <c r="F17" s="78"/>
      <c r="G17" s="22">
        <f t="shared" si="0"/>
        <v>0</v>
      </c>
      <c r="H17" s="22">
        <f t="shared" si="1"/>
        <v>130.21295737301278</v>
      </c>
      <c r="I17" s="22">
        <f t="shared" si="4"/>
        <v>-130.21295737301278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14" sqref="C14"/>
    </sheetView>
  </sheetViews>
  <sheetFormatPr defaultColWidth="14.453125" defaultRowHeight="15.75" customHeight="1" x14ac:dyDescent="0.25"/>
  <cols>
    <col min="1" max="1" width="16.1796875" customWidth="1"/>
    <col min="2" max="2" width="31.26953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27.75" customHeight="1" x14ac:dyDescent="0.3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5.5019776500000006E-2</v>
      </c>
    </row>
    <row r="4" spans="1:8" ht="15.75" customHeight="1" x14ac:dyDescent="0.25">
      <c r="B4" s="24" t="s">
        <v>7</v>
      </c>
      <c r="C4" s="79">
        <v>2.7233987126092006E-2</v>
      </c>
    </row>
    <row r="5" spans="1:8" ht="15.75" customHeight="1" x14ac:dyDescent="0.25">
      <c r="B5" s="24" t="s">
        <v>8</v>
      </c>
      <c r="C5" s="79">
        <v>5.0636249760142998E-2</v>
      </c>
    </row>
    <row r="6" spans="1:8" ht="15.75" customHeight="1" x14ac:dyDescent="0.25">
      <c r="B6" s="24" t="s">
        <v>10</v>
      </c>
      <c r="C6" s="79">
        <v>6.8501793366332608E-2</v>
      </c>
    </row>
    <row r="7" spans="1:8" ht="15.75" customHeight="1" x14ac:dyDescent="0.25">
      <c r="B7" s="24" t="s">
        <v>13</v>
      </c>
      <c r="C7" s="79">
        <v>0.45995150807868873</v>
      </c>
    </row>
    <row r="8" spans="1:8" ht="15.75" customHeight="1" x14ac:dyDescent="0.25">
      <c r="B8" s="24" t="s">
        <v>14</v>
      </c>
      <c r="C8" s="79">
        <v>2.1914101206305236E-4</v>
      </c>
    </row>
    <row r="9" spans="1:8" ht="15.75" customHeight="1" x14ac:dyDescent="0.25">
      <c r="B9" s="24" t="s">
        <v>27</v>
      </c>
      <c r="C9" s="79">
        <v>0.1366446409886205</v>
      </c>
    </row>
    <row r="10" spans="1:8" ht="15.75" customHeight="1" x14ac:dyDescent="0.25">
      <c r="B10" s="24" t="s">
        <v>15</v>
      </c>
      <c r="C10" s="79">
        <v>0.20179290316805998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3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0.29848666081730801</v>
      </c>
      <c r="D14" s="79">
        <v>0.29848666081730801</v>
      </c>
      <c r="E14" s="79">
        <v>0.26436338138583498</v>
      </c>
      <c r="F14" s="79">
        <v>0.26436338138583498</v>
      </c>
    </row>
    <row r="15" spans="1:8" ht="15.75" customHeight="1" x14ac:dyDescent="0.25">
      <c r="B15" s="24" t="s">
        <v>16</v>
      </c>
      <c r="C15" s="79">
        <v>0.15976429876482001</v>
      </c>
      <c r="D15" s="79">
        <v>0.15976429876482001</v>
      </c>
      <c r="E15" s="79">
        <v>7.2660020180231197E-2</v>
      </c>
      <c r="F15" s="79">
        <v>7.2660020180231197E-2</v>
      </c>
    </row>
    <row r="16" spans="1:8" ht="15.75" customHeight="1" x14ac:dyDescent="0.25">
      <c r="B16" s="24" t="s">
        <v>17</v>
      </c>
      <c r="C16" s="79">
        <v>1.3486574073981102E-2</v>
      </c>
      <c r="D16" s="79">
        <v>1.3486574073981102E-2</v>
      </c>
      <c r="E16" s="79">
        <v>1.08103375780811E-2</v>
      </c>
      <c r="F16" s="79">
        <v>1.08103375780811E-2</v>
      </c>
    </row>
    <row r="17" spans="1:8" ht="15.75" customHeight="1" x14ac:dyDescent="0.25">
      <c r="B17" s="24" t="s">
        <v>18</v>
      </c>
      <c r="C17" s="79">
        <v>1.82844419229647E-3</v>
      </c>
      <c r="D17" s="79">
        <v>1.82844419229647E-3</v>
      </c>
      <c r="E17" s="79">
        <v>7.1172664098363E-3</v>
      </c>
      <c r="F17" s="79">
        <v>7.1172664098363E-3</v>
      </c>
    </row>
    <row r="18" spans="1:8" ht="15.75" customHeight="1" x14ac:dyDescent="0.25">
      <c r="B18" s="24" t="s">
        <v>19</v>
      </c>
      <c r="C18" s="79">
        <v>1.2866600156652701E-6</v>
      </c>
      <c r="D18" s="79">
        <v>1.2866600156652701E-6</v>
      </c>
      <c r="E18" s="79">
        <v>2.8438659297181399E-6</v>
      </c>
      <c r="F18" s="79">
        <v>2.8438659297181399E-6</v>
      </c>
    </row>
    <row r="19" spans="1:8" ht="15.75" customHeight="1" x14ac:dyDescent="0.25">
      <c r="B19" s="24" t="s">
        <v>20</v>
      </c>
      <c r="C19" s="79">
        <v>3.5684401794366299E-2</v>
      </c>
      <c r="D19" s="79">
        <v>3.5684401794366299E-2</v>
      </c>
      <c r="E19" s="79">
        <v>5.76493078108666E-2</v>
      </c>
      <c r="F19" s="79">
        <v>5.76493078108666E-2</v>
      </c>
    </row>
    <row r="20" spans="1:8" ht="15.75" customHeight="1" x14ac:dyDescent="0.25">
      <c r="B20" s="24" t="s">
        <v>21</v>
      </c>
      <c r="C20" s="79">
        <v>1.5384212778225099E-3</v>
      </c>
      <c r="D20" s="79">
        <v>1.5384212778225099E-3</v>
      </c>
      <c r="E20" s="79">
        <v>1.1326070999125E-2</v>
      </c>
      <c r="F20" s="79">
        <v>1.1326070999125E-2</v>
      </c>
    </row>
    <row r="21" spans="1:8" ht="15.75" customHeight="1" x14ac:dyDescent="0.25">
      <c r="B21" s="24" t="s">
        <v>22</v>
      </c>
      <c r="C21" s="79">
        <v>6.7802027009129295E-2</v>
      </c>
      <c r="D21" s="79">
        <v>6.7802027009129295E-2</v>
      </c>
      <c r="E21" s="79">
        <v>0.37598452742688698</v>
      </c>
      <c r="F21" s="79">
        <v>0.37598452742688698</v>
      </c>
    </row>
    <row r="22" spans="1:8" ht="15.75" customHeight="1" x14ac:dyDescent="0.25">
      <c r="B22" s="24" t="s">
        <v>23</v>
      </c>
      <c r="C22" s="79">
        <v>0.42140788541026053</v>
      </c>
      <c r="D22" s="79">
        <v>0.42140788541026053</v>
      </c>
      <c r="E22" s="79">
        <v>0.2000862443432081</v>
      </c>
      <c r="F22" s="79">
        <v>0.2000862443432081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3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4.5899999999999996E-2</v>
      </c>
    </row>
    <row r="27" spans="1:8" ht="15.75" customHeight="1" x14ac:dyDescent="0.25">
      <c r="B27" s="24" t="s">
        <v>39</v>
      </c>
      <c r="C27" s="79">
        <v>2.7699999999999999E-2</v>
      </c>
    </row>
    <row r="28" spans="1:8" ht="15.75" customHeight="1" x14ac:dyDescent="0.25">
      <c r="B28" s="24" t="s">
        <v>40</v>
      </c>
      <c r="C28" s="79">
        <v>0.19149999999999998</v>
      </c>
    </row>
    <row r="29" spans="1:8" ht="15.75" customHeight="1" x14ac:dyDescent="0.25">
      <c r="B29" s="24" t="s">
        <v>41</v>
      </c>
      <c r="C29" s="79">
        <v>0.1502</v>
      </c>
    </row>
    <row r="30" spans="1:8" ht="15.75" customHeight="1" x14ac:dyDescent="0.25">
      <c r="B30" s="24" t="s">
        <v>42</v>
      </c>
      <c r="C30" s="79">
        <v>5.0099999999999999E-2</v>
      </c>
    </row>
    <row r="31" spans="1:8" ht="15.75" customHeight="1" x14ac:dyDescent="0.25">
      <c r="B31" s="24" t="s">
        <v>43</v>
      </c>
      <c r="C31" s="79">
        <v>3.0600000000000002E-2</v>
      </c>
    </row>
    <row r="32" spans="1:8" ht="15.75" customHeight="1" x14ac:dyDescent="0.25">
      <c r="B32" s="24" t="s">
        <v>44</v>
      </c>
      <c r="C32" s="79">
        <v>8.6500000000000007E-2</v>
      </c>
    </row>
    <row r="33" spans="2:3" ht="15.75" customHeight="1" x14ac:dyDescent="0.25">
      <c r="B33" s="24" t="s">
        <v>45</v>
      </c>
      <c r="C33" s="79">
        <v>0.16820000000000002</v>
      </c>
    </row>
    <row r="34" spans="2:3" ht="15.75" customHeight="1" x14ac:dyDescent="0.25">
      <c r="B34" s="24" t="s">
        <v>46</v>
      </c>
      <c r="C34" s="79">
        <v>0.24929999999999999</v>
      </c>
    </row>
    <row r="35" spans="2:3" ht="15.75" customHeight="1" x14ac:dyDescent="0.25">
      <c r="B35" s="32" t="s">
        <v>129</v>
      </c>
      <c r="C35" s="74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F14" sqref="F14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7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0.57100662348115949</v>
      </c>
      <c r="D2" s="80">
        <v>0.57100662348115949</v>
      </c>
      <c r="E2" s="80">
        <v>0.48471753886745123</v>
      </c>
      <c r="F2" s="80">
        <v>0.29494063727560249</v>
      </c>
      <c r="G2" s="80">
        <v>0.17928054436672825</v>
      </c>
    </row>
    <row r="3" spans="1:15" ht="15.75" customHeight="1" x14ac:dyDescent="0.25">
      <c r="A3" s="5"/>
      <c r="B3" s="11" t="s">
        <v>118</v>
      </c>
      <c r="C3" s="80">
        <v>0.23883932581461509</v>
      </c>
      <c r="D3" s="80">
        <v>0.23883932581461509</v>
      </c>
      <c r="E3" s="80">
        <v>0.24787832732973183</v>
      </c>
      <c r="F3" s="80">
        <v>0.27028004887463236</v>
      </c>
      <c r="G3" s="80">
        <v>0.26841437433436716</v>
      </c>
    </row>
    <row r="4" spans="1:15" ht="15.75" customHeight="1" x14ac:dyDescent="0.25">
      <c r="A4" s="5"/>
      <c r="B4" s="11" t="s">
        <v>116</v>
      </c>
      <c r="C4" s="81">
        <v>0.11191358192488263</v>
      </c>
      <c r="D4" s="81">
        <v>0.11191358192488263</v>
      </c>
      <c r="E4" s="81">
        <v>0.15994728744131453</v>
      </c>
      <c r="F4" s="81">
        <v>0.21986562112676056</v>
      </c>
      <c r="G4" s="81">
        <v>0.2740067050078247</v>
      </c>
    </row>
    <row r="5" spans="1:15" ht="15.75" customHeight="1" x14ac:dyDescent="0.25">
      <c r="A5" s="5"/>
      <c r="B5" s="11" t="s">
        <v>119</v>
      </c>
      <c r="C5" s="81">
        <v>7.8240468779342723E-2</v>
      </c>
      <c r="D5" s="81">
        <v>7.8240468779342723E-2</v>
      </c>
      <c r="E5" s="81">
        <v>0.10745684636150235</v>
      </c>
      <c r="F5" s="81">
        <v>0.21491369272300467</v>
      </c>
      <c r="G5" s="81">
        <v>0.27829837629107984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0.55937466185231544</v>
      </c>
      <c r="D8" s="80">
        <v>0.55937466185231544</v>
      </c>
      <c r="E8" s="80">
        <v>0.45977621373994643</v>
      </c>
      <c r="F8" s="80">
        <v>0.51377975784557894</v>
      </c>
      <c r="G8" s="80">
        <v>0.58172090059701498</v>
      </c>
    </row>
    <row r="9" spans="1:15" ht="15.75" customHeight="1" x14ac:dyDescent="0.25">
      <c r="B9" s="7" t="s">
        <v>121</v>
      </c>
      <c r="C9" s="80">
        <v>0.2302726081476846</v>
      </c>
      <c r="D9" s="80">
        <v>0.2302726081476846</v>
      </c>
      <c r="E9" s="80">
        <v>0.29075563626005357</v>
      </c>
      <c r="F9" s="80">
        <v>0.28731761215442092</v>
      </c>
      <c r="G9" s="80">
        <v>0.2888614094029851</v>
      </c>
    </row>
    <row r="10" spans="1:15" ht="15.75" customHeight="1" x14ac:dyDescent="0.25">
      <c r="B10" s="7" t="s">
        <v>122</v>
      </c>
      <c r="C10" s="81">
        <v>0.11527738</v>
      </c>
      <c r="D10" s="81">
        <v>0.11527738</v>
      </c>
      <c r="E10" s="81">
        <v>0.14731649999999999</v>
      </c>
      <c r="F10" s="81">
        <v>0.13603138400000001</v>
      </c>
      <c r="G10" s="81">
        <v>9.412385333333334E-2</v>
      </c>
    </row>
    <row r="11" spans="1:15" ht="15.75" customHeight="1" x14ac:dyDescent="0.25">
      <c r="B11" s="7" t="s">
        <v>123</v>
      </c>
      <c r="C11" s="81">
        <v>9.5075350000000003E-2</v>
      </c>
      <c r="D11" s="81">
        <v>9.5075350000000003E-2</v>
      </c>
      <c r="E11" s="81">
        <v>0.10215165000000001</v>
      </c>
      <c r="F11" s="81">
        <v>6.2871246000000006E-2</v>
      </c>
      <c r="G11" s="81">
        <v>3.5293836666666661E-2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0.97213777649999999</v>
      </c>
      <c r="D14" s="82">
        <v>0.97637391212799995</v>
      </c>
      <c r="E14" s="82">
        <v>0.97637391212799995</v>
      </c>
      <c r="F14" s="82">
        <v>0.93586611214799997</v>
      </c>
      <c r="G14" s="82">
        <v>0.93586611214799997</v>
      </c>
      <c r="H14" s="83">
        <v>0.55200000000000005</v>
      </c>
      <c r="I14" s="83">
        <v>0.75541643059490093</v>
      </c>
      <c r="J14" s="83">
        <v>0.79196883852691224</v>
      </c>
      <c r="K14" s="83">
        <v>0.80304532577903687</v>
      </c>
      <c r="L14" s="83">
        <v>0.73226447585900001</v>
      </c>
      <c r="M14" s="83">
        <v>0.68447671021750001</v>
      </c>
      <c r="N14" s="83">
        <v>0.69434135171599987</v>
      </c>
      <c r="O14" s="83">
        <v>0.67473704702399995</v>
      </c>
    </row>
    <row r="15" spans="1:15" ht="15.75" customHeight="1" x14ac:dyDescent="0.25">
      <c r="B15" s="16" t="s">
        <v>68</v>
      </c>
      <c r="C15" s="80">
        <f>iron_deficiency_anaemia*C14</f>
        <v>0.42879783525905957</v>
      </c>
      <c r="D15" s="80">
        <f t="shared" ref="D15:O15" si="0">iron_deficiency_anaemia*D14</f>
        <v>0.43066634179286584</v>
      </c>
      <c r="E15" s="80">
        <f t="shared" si="0"/>
        <v>0.43066634179286584</v>
      </c>
      <c r="F15" s="80">
        <f t="shared" si="0"/>
        <v>0.41279885699552865</v>
      </c>
      <c r="G15" s="80">
        <f t="shared" si="0"/>
        <v>0.41279885699552865</v>
      </c>
      <c r="H15" s="80">
        <f t="shared" si="0"/>
        <v>0.24348030781725405</v>
      </c>
      <c r="I15" s="80">
        <f t="shared" si="0"/>
        <v>0.33320475552800322</v>
      </c>
      <c r="J15" s="80">
        <f t="shared" si="0"/>
        <v>0.34932756627935824</v>
      </c>
      <c r="K15" s="80">
        <f t="shared" si="0"/>
        <v>0.35421326650704155</v>
      </c>
      <c r="L15" s="80">
        <f t="shared" si="0"/>
        <v>0.32299271736556068</v>
      </c>
      <c r="M15" s="80">
        <f t="shared" si="0"/>
        <v>0.30191413061140993</v>
      </c>
      <c r="N15" s="80">
        <f t="shared" si="0"/>
        <v>0.30626530080807951</v>
      </c>
      <c r="O15" s="80">
        <f t="shared" si="0"/>
        <v>0.29761808678461688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E3" sqref="E3"/>
    </sheetView>
  </sheetViews>
  <sheetFormatPr defaultColWidth="8.81640625" defaultRowHeight="12.5" x14ac:dyDescent="0.25"/>
  <cols>
    <col min="1" max="1" width="28.81640625" customWidth="1"/>
    <col min="2" max="7" width="13.453125" customWidth="1"/>
  </cols>
  <sheetData>
    <row r="1" spans="1:7" ht="40.5" customHeight="1" x14ac:dyDescent="0.3">
      <c r="A1" s="27" t="str">
        <f>"Percentage of children in each category in baseline year ("&amp;start_year&amp;")"</f>
        <v>Percentage of children in each category in baseline year (2017)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0.10300000000000001</v>
      </c>
      <c r="D2" s="81">
        <v>0.10300000000000001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0.42</v>
      </c>
      <c r="D3" s="81">
        <v>0.27600000000000002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0.24199999999999999</v>
      </c>
      <c r="D4" s="81">
        <v>0.24199999999999999</v>
      </c>
      <c r="E4" s="81">
        <v>0.34499999999999997</v>
      </c>
      <c r="F4" s="81">
        <v>0.67099999999999993</v>
      </c>
      <c r="G4" s="81">
        <v>0</v>
      </c>
    </row>
    <row r="5" spans="1:7" x14ac:dyDescent="0.25">
      <c r="B5" s="43" t="s">
        <v>169</v>
      </c>
      <c r="C5" s="80">
        <f>1-SUM(C2:C4)</f>
        <v>0.23499999999999999</v>
      </c>
      <c r="D5" s="80">
        <f>1-SUM(D2:D4)</f>
        <v>0.379</v>
      </c>
      <c r="E5" s="80">
        <f>1-SUM(E2:E4)</f>
        <v>0.65500000000000003</v>
      </c>
      <c r="F5" s="80">
        <f>1-SUM(F2:F4)</f>
        <v>0.32900000000000007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zoomScale="110" zoomScaleNormal="110" workbookViewId="0">
      <selection activeCell="C4" sqref="C4"/>
    </sheetView>
  </sheetViews>
  <sheetFormatPr defaultColWidth="8.81640625" defaultRowHeight="12.5" x14ac:dyDescent="0.25"/>
  <cols>
    <col min="1" max="1" width="37" customWidth="1"/>
    <col min="2" max="2" width="29.453125" customWidth="1"/>
  </cols>
  <sheetData>
    <row r="1" spans="1:16" ht="13" x14ac:dyDescent="0.3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0.45241999999999999</v>
      </c>
      <c r="D2" s="144">
        <v>0.4446</v>
      </c>
      <c r="E2" s="144">
        <v>0.43672</v>
      </c>
      <c r="F2" s="144">
        <v>0.42898999999999998</v>
      </c>
      <c r="G2" s="144">
        <v>0.42145000000000005</v>
      </c>
      <c r="H2" s="144">
        <v>0.41314000000000001</v>
      </c>
      <c r="I2" s="144">
        <v>0.40494000000000002</v>
      </c>
      <c r="J2" s="144">
        <v>0.39679999999999999</v>
      </c>
      <c r="K2" s="144">
        <v>0.38874000000000003</v>
      </c>
      <c r="L2" s="144">
        <v>0.38073000000000001</v>
      </c>
      <c r="M2" s="144">
        <v>0.37276999999999999</v>
      </c>
      <c r="N2" s="144">
        <v>0.36491999999999997</v>
      </c>
      <c r="O2" s="144">
        <v>0.35720999999999997</v>
      </c>
      <c r="P2" s="144">
        <v>0.34966999999999998</v>
      </c>
    </row>
    <row r="3" spans="1:16" x14ac:dyDescent="0.25">
      <c r="B3" s="14"/>
      <c r="C3" s="142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</row>
    <row r="4" spans="1:16" x14ac:dyDescent="0.25">
      <c r="A4" t="s">
        <v>140</v>
      </c>
      <c r="B4" s="14" t="s">
        <v>143</v>
      </c>
      <c r="C4" s="28">
        <v>0.15664</v>
      </c>
      <c r="D4" s="144">
        <v>0.15737000000000001</v>
      </c>
      <c r="E4" s="144">
        <v>0.15817000000000001</v>
      </c>
      <c r="F4" s="144">
        <v>0.15898999999999999</v>
      </c>
      <c r="G4" s="144">
        <v>0.15984000000000001</v>
      </c>
      <c r="H4" s="144">
        <v>0.16089999999999999</v>
      </c>
      <c r="I4" s="144">
        <v>0.16198000000000001</v>
      </c>
      <c r="J4" s="144">
        <v>0.16309000000000001</v>
      </c>
      <c r="K4" s="144">
        <v>0.16422999999999999</v>
      </c>
      <c r="L4" s="144">
        <v>0.16539999999999999</v>
      </c>
      <c r="M4" s="144">
        <v>0.16661000000000001</v>
      </c>
      <c r="N4" s="144">
        <v>0.16783000000000001</v>
      </c>
      <c r="O4" s="144">
        <v>0.16907</v>
      </c>
      <c r="P4" s="144">
        <v>0.17032</v>
      </c>
    </row>
    <row r="5" spans="1:16" x14ac:dyDescent="0.25">
      <c r="B5" s="14"/>
      <c r="C5" s="142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</row>
    <row r="6" spans="1:16" x14ac:dyDescent="0.25">
      <c r="A6" t="s">
        <v>141</v>
      </c>
      <c r="B6" s="14" t="s">
        <v>143</v>
      </c>
      <c r="C6" s="28">
        <f>('Nutritional status distribution'!C15+5*'Nutritional status distribution'!D15+6*'Nutritional status distribution'!E15+12*'Nutritional status distribution'!F15+36*'Nutritional status distribution'!G15)/60</f>
        <v>0.41634121217943265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</row>
    <row r="7" spans="1:16" x14ac:dyDescent="0.25">
      <c r="B7" s="14" t="s">
        <v>32</v>
      </c>
      <c r="C7" s="28">
        <f>('Nutritional status distribution'!H15 + 2*'Nutritional status distribution'!I15+2*'Nutritional status distribution'!J15+2*'Nutritional status distribution'!K15)/7</f>
        <v>0.33099592634943714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</row>
    <row r="8" spans="1:16" x14ac:dyDescent="0.25">
      <c r="B8" s="14" t="s">
        <v>144</v>
      </c>
      <c r="C8" s="28">
        <f>('Nutritional status distribution'!L15+2*'Nutritional status distribution'!M15+2*'Nutritional status distribution'!N15+2*'Nutritional status distribution'!O15)/7</f>
        <v>0.30494110768196758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</row>
    <row r="9" spans="1:16" x14ac:dyDescent="0.25">
      <c r="C9" s="142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</row>
    <row r="10" spans="1:16" x14ac:dyDescent="0.25">
      <c r="A10" t="s">
        <v>142</v>
      </c>
      <c r="B10" s="16" t="s">
        <v>147</v>
      </c>
      <c r="C10" s="28">
        <f>('Breastfeeding distribution'!C2 + 5*'Breastfeeding distribution'!D2)/6</f>
        <v>0.10299999999999999</v>
      </c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</row>
    <row r="11" spans="1:16" x14ac:dyDescent="0.25">
      <c r="B11" s="34" t="s">
        <v>146</v>
      </c>
      <c r="C11" s="28">
        <f>('Breastfeeding distribution'!E4+2*'Breastfeeding distribution'!F4)/3</f>
        <v>0.56233333333333324</v>
      </c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</row>
    <row r="12" spans="1:16" x14ac:dyDescent="0.25">
      <c r="C12" s="142"/>
    </row>
    <row r="13" spans="1:16" x14ac:dyDescent="0.25">
      <c r="A13" s="12" t="s">
        <v>74</v>
      </c>
      <c r="B13" s="34" t="s">
        <v>148</v>
      </c>
      <c r="C13" s="143">
        <v>45.865000000000002</v>
      </c>
      <c r="D13" s="143">
        <v>44.185000000000002</v>
      </c>
      <c r="E13" s="143">
        <v>42.581000000000003</v>
      </c>
      <c r="F13" s="143">
        <v>41.070999999999998</v>
      </c>
      <c r="G13" s="143">
        <v>39.555999999999997</v>
      </c>
      <c r="H13" s="143">
        <v>38.085999999999999</v>
      </c>
      <c r="I13" s="143">
        <v>36.625999999999998</v>
      </c>
      <c r="J13" s="143">
        <v>35.222000000000001</v>
      </c>
      <c r="K13" s="143">
        <v>33.795000000000002</v>
      </c>
      <c r="L13" s="143">
        <v>32.399000000000001</v>
      </c>
      <c r="M13" s="143">
        <v>31.7</v>
      </c>
      <c r="N13" s="143">
        <v>29.821999999999999</v>
      </c>
      <c r="O13" s="143">
        <v>28.881</v>
      </c>
      <c r="P13" s="143">
        <v>27.943000000000001</v>
      </c>
    </row>
    <row r="14" spans="1:16" x14ac:dyDescent="0.25">
      <c r="B14" s="16" t="s">
        <v>170</v>
      </c>
      <c r="C14" s="143">
        <f>maternal_mortality</f>
        <v>3.85</v>
      </c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</row>
  </sheetData>
  <pageMargins left="0.7" right="0.7" top="0.75" bottom="0.75" header="0.3" footer="0.3"/>
  <pageSetup paperSize="193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3" sqref="D3"/>
    </sheetView>
  </sheetViews>
  <sheetFormatPr defaultColWidth="11.453125" defaultRowHeight="12.5" x14ac:dyDescent="0.25"/>
  <cols>
    <col min="1" max="1" width="17" style="35" customWidth="1"/>
    <col min="2" max="2" width="19.1796875" style="35" customWidth="1"/>
    <col min="3" max="3" width="13.453125" style="35" customWidth="1"/>
    <col min="4" max="16384" width="11.453125" style="35"/>
  </cols>
  <sheetData>
    <row r="1" spans="1:5" ht="13" x14ac:dyDescent="0.3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ht="13" x14ac:dyDescent="0.3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/>
      <c r="D3" s="84" t="s">
        <v>194</v>
      </c>
      <c r="E3" s="61" t="str">
        <f>IF(E$7="","",E$7)</f>
        <v/>
      </c>
    </row>
    <row r="4" spans="1:5" x14ac:dyDescent="0.25">
      <c r="A4" s="47"/>
      <c r="B4" s="46" t="s">
        <v>2</v>
      </c>
      <c r="C4" s="84"/>
      <c r="D4" s="84" t="s">
        <v>194</v>
      </c>
      <c r="E4" s="61" t="str">
        <f>IF(E$7="","",E$7)</f>
        <v/>
      </c>
    </row>
    <row r="5" spans="1:5" x14ac:dyDescent="0.25">
      <c r="A5" s="47"/>
      <c r="B5" s="46" t="s">
        <v>3</v>
      </c>
      <c r="C5" s="84"/>
      <c r="D5" s="84" t="s">
        <v>194</v>
      </c>
      <c r="E5" s="61" t="str">
        <f>IF(E$7="","",E$7)</f>
        <v/>
      </c>
    </row>
    <row r="6" spans="1:5" x14ac:dyDescent="0.25">
      <c r="A6" s="47"/>
      <c r="B6" s="46" t="s">
        <v>4</v>
      </c>
      <c r="C6" s="84"/>
      <c r="D6" s="84" t="s">
        <v>194</v>
      </c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ht="13" x14ac:dyDescent="0.3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/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/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/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ht="13" x14ac:dyDescent="0.3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 t="s">
        <v>194</v>
      </c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1640625" defaultRowHeight="12.5" x14ac:dyDescent="0.25"/>
  <cols>
    <col min="1" max="1" width="15.7265625" customWidth="1"/>
    <col min="2" max="2" width="15.453125" customWidth="1"/>
    <col min="3" max="3" width="17.453125" customWidth="1"/>
    <col min="4" max="4" width="12.81640625" customWidth="1"/>
  </cols>
  <sheetData>
    <row r="1" spans="1:4" ht="13" x14ac:dyDescent="0.3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ht="13" x14ac:dyDescent="0.3">
      <c r="A2" s="65" t="s">
        <v>69</v>
      </c>
      <c r="B2" s="46" t="s">
        <v>67</v>
      </c>
      <c r="C2" s="46" t="s">
        <v>183</v>
      </c>
      <c r="D2" s="84"/>
    </row>
    <row r="3" spans="1:4" ht="13" x14ac:dyDescent="0.3">
      <c r="A3" s="65" t="s">
        <v>185</v>
      </c>
      <c r="B3" s="46" t="s">
        <v>176</v>
      </c>
      <c r="C3" s="46" t="s">
        <v>184</v>
      </c>
      <c r="D3" s="84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39"/>
  <sheetViews>
    <sheetView zoomScale="85" zoomScaleNormal="118" workbookViewId="0">
      <selection activeCell="E29" sqref="E29"/>
    </sheetView>
  </sheetViews>
  <sheetFormatPr defaultColWidth="14.453125" defaultRowHeight="15.75" customHeight="1" x14ac:dyDescent="0.25"/>
  <cols>
    <col min="1" max="1" width="20" bestFit="1" customWidth="1"/>
    <col min="2" max="2" width="45.81640625" customWidth="1"/>
    <col min="3" max="3" width="8.453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17968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1" t="s">
        <v>61</v>
      </c>
      <c r="C2" s="92">
        <v>0</v>
      </c>
      <c r="D2" s="92">
        <f>food_insecure</f>
        <v>0.48599999999999999</v>
      </c>
      <c r="E2" s="92">
        <f>food_insecure</f>
        <v>0.48599999999999999</v>
      </c>
      <c r="F2" s="92">
        <f>food_insecure</f>
        <v>0.48599999999999999</v>
      </c>
      <c r="G2" s="92">
        <f>food_insecure</f>
        <v>0.48599999999999999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0</v>
      </c>
    </row>
    <row r="3" spans="1:15" ht="15.75" customHeight="1" x14ac:dyDescent="0.25">
      <c r="B3" s="7" t="s">
        <v>149</v>
      </c>
      <c r="C3" s="92">
        <v>1</v>
      </c>
      <c r="D3" s="92">
        <v>0</v>
      </c>
      <c r="E3" s="92">
        <v>0</v>
      </c>
      <c r="F3" s="92">
        <v>0</v>
      </c>
      <c r="G3" s="92">
        <v>0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</row>
    <row r="4" spans="1:15" ht="15.75" customHeight="1" x14ac:dyDescent="0.25">
      <c r="B4" s="7" t="s">
        <v>196</v>
      </c>
      <c r="C4" s="92">
        <v>1</v>
      </c>
      <c r="D4" s="92">
        <v>0</v>
      </c>
      <c r="E4" s="92">
        <v>0</v>
      </c>
      <c r="F4" s="92">
        <v>0</v>
      </c>
      <c r="G4" s="92">
        <v>0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</row>
    <row r="5" spans="1:15" ht="15.75" customHeight="1" x14ac:dyDescent="0.25">
      <c r="B5" s="11" t="s">
        <v>136</v>
      </c>
      <c r="C5" s="92">
        <v>0</v>
      </c>
      <c r="D5" s="92">
        <v>0</v>
      </c>
      <c r="E5" s="92">
        <f>food_insecure</f>
        <v>0.48599999999999999</v>
      </c>
      <c r="F5" s="92">
        <f>food_insecure</f>
        <v>0.48599999999999999</v>
      </c>
      <c r="G5" s="92">
        <v>0</v>
      </c>
      <c r="H5" s="93">
        <v>0</v>
      </c>
      <c r="I5" s="93">
        <v>0</v>
      </c>
      <c r="J5" s="93">
        <v>0</v>
      </c>
      <c r="K5" s="93">
        <v>0</v>
      </c>
      <c r="L5" s="93">
        <v>0</v>
      </c>
      <c r="M5" s="93">
        <v>0</v>
      </c>
      <c r="N5" s="93">
        <v>0</v>
      </c>
      <c r="O5" s="93">
        <v>0</v>
      </c>
    </row>
    <row r="6" spans="1:15" ht="15.75" customHeight="1" x14ac:dyDescent="0.25">
      <c r="B6" s="11" t="s">
        <v>137</v>
      </c>
      <c r="C6" s="92">
        <v>0</v>
      </c>
      <c r="D6" s="92">
        <v>0</v>
      </c>
      <c r="E6" s="92">
        <f>1</f>
        <v>1</v>
      </c>
      <c r="F6" s="92">
        <f>1</f>
        <v>1</v>
      </c>
      <c r="G6" s="92">
        <f>1</f>
        <v>1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</row>
    <row r="7" spans="1:15" ht="15.75" customHeight="1" x14ac:dyDescent="0.25">
      <c r="B7" s="33" t="s">
        <v>84</v>
      </c>
      <c r="C7" s="92">
        <f>diarrhoea_1mo/26</f>
        <v>0.24012736166557691</v>
      </c>
      <c r="D7" s="92">
        <f>diarrhoea_1_5mo/26</f>
        <v>0.23235280196846153</v>
      </c>
      <c r="E7" s="92">
        <f>diarrhoea_6_11mo/26</f>
        <v>0.23235280196846153</v>
      </c>
      <c r="F7" s="92">
        <f>diarrhoea_12_23mo/26</f>
        <v>0.16951161291153807</v>
      </c>
      <c r="G7" s="92">
        <f>diarrhoea_24_59mo/26</f>
        <v>0.16951161291153807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</row>
    <row r="8" spans="1:15" ht="15.75" customHeight="1" x14ac:dyDescent="0.25">
      <c r="B8" s="11" t="s">
        <v>58</v>
      </c>
      <c r="C8" s="92">
        <v>0</v>
      </c>
      <c r="D8" s="92">
        <v>0</v>
      </c>
      <c r="E8" s="92">
        <f>food_insecure</f>
        <v>0.48599999999999999</v>
      </c>
      <c r="F8" s="92">
        <f>food_insecure</f>
        <v>0.48599999999999999</v>
      </c>
      <c r="G8" s="92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</row>
    <row r="9" spans="1:15" ht="15.75" customHeight="1" x14ac:dyDescent="0.25">
      <c r="B9" s="11" t="s">
        <v>67</v>
      </c>
      <c r="C9" s="92">
        <v>0</v>
      </c>
      <c r="D9" s="92">
        <f>IF(ISBLANK(comm_deliv), frac_children_health_facility,1)</f>
        <v>0.34</v>
      </c>
      <c r="E9" s="92">
        <f>IF(ISBLANK(comm_deliv), frac_children_health_facility,1)</f>
        <v>0.34</v>
      </c>
      <c r="F9" s="92">
        <f>IF(ISBLANK(comm_deliv), frac_children_health_facility,1)</f>
        <v>0.34</v>
      </c>
      <c r="G9" s="92">
        <f>IF(ISBLANK(comm_deliv), frac_children_health_facility,1)</f>
        <v>0.34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</row>
    <row r="10" spans="1:15" ht="15" customHeight="1" x14ac:dyDescent="0.25">
      <c r="B10" s="11" t="s">
        <v>28</v>
      </c>
      <c r="C10" s="92">
        <v>0</v>
      </c>
      <c r="D10" s="92">
        <v>0</v>
      </c>
      <c r="E10" s="92">
        <v>1</v>
      </c>
      <c r="F10" s="92">
        <v>1</v>
      </c>
      <c r="G10" s="92">
        <v>1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</row>
    <row r="11" spans="1:15" ht="15.75" customHeight="1" x14ac:dyDescent="0.25">
      <c r="B11" s="33" t="s">
        <v>85</v>
      </c>
      <c r="C11" s="92">
        <f>diarrhoea_1mo/26</f>
        <v>0.24012736166557691</v>
      </c>
      <c r="D11" s="92">
        <f>diarrhoea_1_5mo/26</f>
        <v>0.23235280196846153</v>
      </c>
      <c r="E11" s="92">
        <f>diarrhoea_6_11mo/26</f>
        <v>0.23235280196846153</v>
      </c>
      <c r="F11" s="92">
        <f>diarrhoea_12_23mo/26</f>
        <v>0.16951161291153807</v>
      </c>
      <c r="G11" s="92">
        <f>diarrhoea_24_59mo/26</f>
        <v>0.16951161291153807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</row>
    <row r="12" spans="1:15" ht="15.75" customHeight="1" x14ac:dyDescent="0.25">
      <c r="B12" s="11" t="s">
        <v>60</v>
      </c>
      <c r="C12" s="92">
        <v>0</v>
      </c>
      <c r="D12" s="92">
        <v>0</v>
      </c>
      <c r="E12" s="92">
        <v>1</v>
      </c>
      <c r="F12" s="92">
        <v>1</v>
      </c>
      <c r="G12" s="92">
        <v>1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</row>
    <row r="13" spans="1:15" ht="15.75" customHeight="1" x14ac:dyDescent="0.25">
      <c r="B13" s="33"/>
    </row>
    <row r="14" spans="1:15" ht="15.75" customHeight="1" x14ac:dyDescent="0.3">
      <c r="A14" s="4" t="s">
        <v>32</v>
      </c>
      <c r="B14" s="33" t="s">
        <v>29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2">
        <f>food_insecure</f>
        <v>0.48599999999999999</v>
      </c>
      <c r="I14" s="92">
        <f>food_insecure</f>
        <v>0.48599999999999999</v>
      </c>
      <c r="J14" s="92">
        <f>food_insecure</f>
        <v>0.48599999999999999</v>
      </c>
      <c r="K14" s="92">
        <f>food_insecure</f>
        <v>0.48599999999999999</v>
      </c>
      <c r="L14" s="93">
        <v>0</v>
      </c>
      <c r="M14" s="93">
        <v>0</v>
      </c>
      <c r="N14" s="93">
        <v>0</v>
      </c>
      <c r="O14" s="93">
        <v>0</v>
      </c>
    </row>
    <row r="15" spans="1:15" ht="15.75" customHeight="1" x14ac:dyDescent="0.3">
      <c r="A15" s="4"/>
      <c r="B15" s="11" t="s">
        <v>86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2">
        <v>1</v>
      </c>
      <c r="I15" s="92">
        <v>1</v>
      </c>
      <c r="J15" s="92">
        <v>1</v>
      </c>
      <c r="K15" s="92">
        <v>1</v>
      </c>
      <c r="L15" s="93">
        <v>0</v>
      </c>
      <c r="M15" s="93">
        <v>0</v>
      </c>
      <c r="N15" s="93">
        <v>0</v>
      </c>
      <c r="O15" s="93">
        <v>0</v>
      </c>
    </row>
    <row r="16" spans="1:15" ht="15.75" customHeight="1" x14ac:dyDescent="0.3">
      <c r="A16" s="4"/>
      <c r="B16" s="11" t="s">
        <v>187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2">
        <f xml:space="preserve"> 1</f>
        <v>1</v>
      </c>
      <c r="I16" s="92">
        <f xml:space="preserve"> 1</f>
        <v>1</v>
      </c>
      <c r="J16" s="92">
        <f xml:space="preserve"> 1</f>
        <v>1</v>
      </c>
      <c r="K16" s="92">
        <f xml:space="preserve"> 1</f>
        <v>1</v>
      </c>
      <c r="L16" s="93">
        <v>0</v>
      </c>
      <c r="M16" s="93">
        <v>0</v>
      </c>
      <c r="N16" s="93">
        <v>0</v>
      </c>
      <c r="O16" s="93">
        <v>0</v>
      </c>
    </row>
    <row r="17" spans="1:15" ht="15.75" customHeight="1" x14ac:dyDescent="0.3">
      <c r="A17" s="4"/>
      <c r="B17" s="11" t="s">
        <v>209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2">
        <f>frac_PW_health_facility</f>
        <v>0.251</v>
      </c>
      <c r="I17" s="92">
        <f>frac_PW_health_facility</f>
        <v>0.251</v>
      </c>
      <c r="J17" s="92">
        <f>frac_PW_health_facility</f>
        <v>0.251</v>
      </c>
      <c r="K17" s="92">
        <f>frac_PW_health_facility</f>
        <v>0.251</v>
      </c>
      <c r="L17" s="93">
        <v>0</v>
      </c>
      <c r="M17" s="93">
        <v>0</v>
      </c>
      <c r="N17" s="93">
        <v>0</v>
      </c>
      <c r="O17" s="93">
        <v>0</v>
      </c>
    </row>
    <row r="18" spans="1:15" ht="15" customHeight="1" x14ac:dyDescent="0.25">
      <c r="B18" s="33" t="s">
        <v>57</v>
      </c>
      <c r="C18" s="93">
        <v>0</v>
      </c>
      <c r="D18" s="93">
        <v>0</v>
      </c>
      <c r="E18" s="93">
        <v>0</v>
      </c>
      <c r="F18" s="93">
        <v>0</v>
      </c>
      <c r="G18" s="93">
        <v>0</v>
      </c>
      <c r="H18" s="92">
        <f>frac_malaria_risk</f>
        <v>0.47</v>
      </c>
      <c r="I18" s="92">
        <f>frac_malaria_risk</f>
        <v>0.47</v>
      </c>
      <c r="J18" s="92">
        <f>frac_malaria_risk</f>
        <v>0.47</v>
      </c>
      <c r="K18" s="92">
        <f>frac_malaria_risk</f>
        <v>0.47</v>
      </c>
      <c r="L18" s="93">
        <v>0</v>
      </c>
      <c r="M18" s="93">
        <v>0</v>
      </c>
      <c r="N18" s="93">
        <v>0</v>
      </c>
      <c r="O18" s="93">
        <v>0</v>
      </c>
    </row>
    <row r="19" spans="1:15" ht="15.75" customHeight="1" x14ac:dyDescent="0.25">
      <c r="B19" s="11" t="s">
        <v>88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2">
        <v>1</v>
      </c>
      <c r="I19" s="92">
        <v>1</v>
      </c>
      <c r="J19" s="92">
        <v>1</v>
      </c>
      <c r="K19" s="92">
        <v>1</v>
      </c>
      <c r="L19" s="93">
        <v>0</v>
      </c>
      <c r="M19" s="93">
        <v>0</v>
      </c>
      <c r="N19" s="93">
        <v>0</v>
      </c>
      <c r="O19" s="93">
        <v>0</v>
      </c>
    </row>
    <row r="20" spans="1:15" ht="15.75" customHeight="1" x14ac:dyDescent="0.25">
      <c r="B20" s="11" t="s">
        <v>87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2">
        <v>1</v>
      </c>
      <c r="I20" s="92">
        <v>1</v>
      </c>
      <c r="J20" s="92">
        <v>1</v>
      </c>
      <c r="K20" s="92">
        <v>1</v>
      </c>
      <c r="L20" s="93">
        <v>0</v>
      </c>
      <c r="M20" s="93">
        <v>0</v>
      </c>
      <c r="N20" s="93">
        <v>0</v>
      </c>
      <c r="O20" s="93">
        <v>0</v>
      </c>
    </row>
    <row r="21" spans="1:15" ht="15.75" customHeight="1" x14ac:dyDescent="0.25">
      <c r="B21" s="33" t="s">
        <v>59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2">
        <f>1</f>
        <v>1</v>
      </c>
      <c r="I21" s="92">
        <f>1</f>
        <v>1</v>
      </c>
      <c r="J21" s="92">
        <f>1</f>
        <v>1</v>
      </c>
      <c r="K21" s="92">
        <f>1</f>
        <v>1</v>
      </c>
      <c r="L21" s="93">
        <v>0</v>
      </c>
      <c r="M21" s="93">
        <v>0</v>
      </c>
      <c r="N21" s="93">
        <v>0</v>
      </c>
      <c r="O21" s="93">
        <v>0</v>
      </c>
    </row>
    <row r="22" spans="1:15" ht="15.75" customHeight="1" x14ac:dyDescent="0.25">
      <c r="B22" s="33"/>
    </row>
    <row r="23" spans="1:15" ht="15.75" customHeight="1" x14ac:dyDescent="0.3">
      <c r="A23" s="62" t="s">
        <v>37</v>
      </c>
      <c r="B23" s="63" t="s">
        <v>198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2">
        <f>famplan_unmet_need</f>
        <v>0.53100000000000003</v>
      </c>
      <c r="M23" s="92">
        <f>famplan_unmet_need</f>
        <v>0.53100000000000003</v>
      </c>
      <c r="N23" s="92">
        <f>famplan_unmet_need</f>
        <v>0.53100000000000003</v>
      </c>
      <c r="O23" s="92">
        <f>famplan_unmet_need</f>
        <v>0.53100000000000003</v>
      </c>
    </row>
    <row r="24" spans="1:15" ht="15.75" customHeight="1" x14ac:dyDescent="0.25">
      <c r="B24" s="63" t="s">
        <v>188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2">
        <f>(1-food_insecure)*(0.49)*(1-school_attendance) + food_insecure*(0.7)*(1-school_attendance)</f>
        <v>0.35649454306945805</v>
      </c>
      <c r="M24" s="92">
        <f>(1-food_insecure)*(0.49)+food_insecure*(0.7)</f>
        <v>0.59206000000000003</v>
      </c>
      <c r="N24" s="92">
        <f>(1-food_insecure)*(0.49)+food_insecure*(0.7)</f>
        <v>0.59206000000000003</v>
      </c>
      <c r="O24" s="92">
        <f>(1-food_insecure)*(0.49)+food_insecure*(0.7)</f>
        <v>0.59206000000000003</v>
      </c>
    </row>
    <row r="25" spans="1:15" ht="15.75" customHeight="1" x14ac:dyDescent="0.25">
      <c r="B25" s="63" t="s">
        <v>208</v>
      </c>
      <c r="C25" s="93">
        <v>0</v>
      </c>
      <c r="D25" s="93">
        <v>0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  <c r="K25" s="93">
        <v>0</v>
      </c>
      <c r="L25" s="92">
        <f>(1-food_insecure)*(0.21)*(1-school_attendance) + food_insecure*(0.3)*(1-school_attendance)</f>
        <v>0.15278337560119631</v>
      </c>
      <c r="M25" s="92">
        <f>(1-food_insecure)*(0.21)+food_insecure*(0.3)</f>
        <v>0.25373999999999997</v>
      </c>
      <c r="N25" s="92">
        <f>(1-food_insecure)*(0.21)+food_insecure*(0.3)</f>
        <v>0.25373999999999997</v>
      </c>
      <c r="O25" s="92">
        <f>(1-food_insecure)*(0.21)+food_insecure*(0.3)</f>
        <v>0.25373999999999997</v>
      </c>
    </row>
    <row r="26" spans="1:15" ht="15.75" customHeight="1" x14ac:dyDescent="0.25">
      <c r="B26" s="63" t="s">
        <v>189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2">
        <f>(1-food_insecure)*(0.3)*(1-school_attendance)</f>
        <v>9.2847783233642608E-2</v>
      </c>
      <c r="M26" s="92">
        <f>(1-food_insecure)*(0.3)</f>
        <v>0.1542</v>
      </c>
      <c r="N26" s="92">
        <f>(1-food_insecure)*(0.3)</f>
        <v>0.1542</v>
      </c>
      <c r="O26" s="92">
        <f>(1-food_insecure)*(0.3)</f>
        <v>0.1542</v>
      </c>
    </row>
    <row r="27" spans="1:15" ht="15.75" customHeight="1" x14ac:dyDescent="0.25">
      <c r="B27" s="63" t="s">
        <v>190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2">
        <f>(1-food_insecure)*1*school_attendance + food_insecure*1*school_attendance</f>
        <v>0.39787429809570296</v>
      </c>
      <c r="M27" s="92">
        <v>0</v>
      </c>
      <c r="N27" s="92">
        <v>0</v>
      </c>
      <c r="O27" s="92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3">
      <c r="A29" s="4" t="s">
        <v>35</v>
      </c>
      <c r="B29" s="11" t="s">
        <v>63</v>
      </c>
      <c r="C29" s="92">
        <v>0</v>
      </c>
      <c r="D29" s="92">
        <v>0</v>
      </c>
      <c r="E29" s="92">
        <f t="shared" ref="E29:O29" si="0">frac_maize</f>
        <v>0.99</v>
      </c>
      <c r="F29" s="92">
        <f t="shared" si="0"/>
        <v>0.99</v>
      </c>
      <c r="G29" s="92">
        <f t="shared" si="0"/>
        <v>0.99</v>
      </c>
      <c r="H29" s="92">
        <f t="shared" si="0"/>
        <v>0.99</v>
      </c>
      <c r="I29" s="92">
        <f t="shared" si="0"/>
        <v>0.99</v>
      </c>
      <c r="J29" s="92">
        <f t="shared" si="0"/>
        <v>0.99</v>
      </c>
      <c r="K29" s="92">
        <f t="shared" si="0"/>
        <v>0.99</v>
      </c>
      <c r="L29" s="92">
        <f t="shared" si="0"/>
        <v>0.99</v>
      </c>
      <c r="M29" s="92">
        <f t="shared" si="0"/>
        <v>0.99</v>
      </c>
      <c r="N29" s="92">
        <f t="shared" si="0"/>
        <v>0.99</v>
      </c>
      <c r="O29" s="92">
        <f t="shared" si="0"/>
        <v>0.99</v>
      </c>
    </row>
    <row r="30" spans="1:15" ht="15.75" customHeight="1" x14ac:dyDescent="0.25">
      <c r="B30" s="11" t="s">
        <v>64</v>
      </c>
      <c r="C30" s="92">
        <v>0</v>
      </c>
      <c r="D30" s="92">
        <v>0</v>
      </c>
      <c r="E30" s="92">
        <f t="shared" ref="E30:O30" si="1">frac_rice</f>
        <v>5.0000000000000001E-3</v>
      </c>
      <c r="F30" s="92">
        <f t="shared" si="1"/>
        <v>5.0000000000000001E-3</v>
      </c>
      <c r="G30" s="92">
        <f t="shared" si="1"/>
        <v>5.0000000000000001E-3</v>
      </c>
      <c r="H30" s="92">
        <f t="shared" si="1"/>
        <v>5.0000000000000001E-3</v>
      </c>
      <c r="I30" s="92">
        <f t="shared" si="1"/>
        <v>5.0000000000000001E-3</v>
      </c>
      <c r="J30" s="92">
        <f t="shared" si="1"/>
        <v>5.0000000000000001E-3</v>
      </c>
      <c r="K30" s="92">
        <f t="shared" si="1"/>
        <v>5.0000000000000001E-3</v>
      </c>
      <c r="L30" s="92">
        <f t="shared" si="1"/>
        <v>5.0000000000000001E-3</v>
      </c>
      <c r="M30" s="92">
        <f t="shared" si="1"/>
        <v>5.0000000000000001E-3</v>
      </c>
      <c r="N30" s="92">
        <f t="shared" si="1"/>
        <v>5.0000000000000001E-3</v>
      </c>
      <c r="O30" s="92">
        <f t="shared" si="1"/>
        <v>5.0000000000000001E-3</v>
      </c>
    </row>
    <row r="31" spans="1:15" ht="15.75" customHeight="1" x14ac:dyDescent="0.25">
      <c r="B31" s="11" t="s">
        <v>62</v>
      </c>
      <c r="C31" s="92">
        <v>0</v>
      </c>
      <c r="D31" s="92">
        <v>0</v>
      </c>
      <c r="E31" s="92">
        <f>frac_wheat</f>
        <v>5.0000000000000001E-3</v>
      </c>
      <c r="F31" s="92">
        <f t="shared" ref="F31:O31" si="2">frac_wheat</f>
        <v>5.0000000000000001E-3</v>
      </c>
      <c r="G31" s="92">
        <f t="shared" si="2"/>
        <v>5.0000000000000001E-3</v>
      </c>
      <c r="H31" s="92">
        <f t="shared" si="2"/>
        <v>5.0000000000000001E-3</v>
      </c>
      <c r="I31" s="92">
        <f t="shared" si="2"/>
        <v>5.0000000000000001E-3</v>
      </c>
      <c r="J31" s="92">
        <f t="shared" si="2"/>
        <v>5.0000000000000001E-3</v>
      </c>
      <c r="K31" s="92">
        <f t="shared" si="2"/>
        <v>5.0000000000000001E-3</v>
      </c>
      <c r="L31" s="92">
        <f t="shared" si="2"/>
        <v>5.0000000000000001E-3</v>
      </c>
      <c r="M31" s="92">
        <f t="shared" si="2"/>
        <v>5.0000000000000001E-3</v>
      </c>
      <c r="N31" s="92">
        <f t="shared" si="2"/>
        <v>5.0000000000000001E-3</v>
      </c>
      <c r="O31" s="92">
        <f t="shared" si="2"/>
        <v>5.0000000000000001E-3</v>
      </c>
    </row>
    <row r="32" spans="1:15" ht="15.75" customHeight="1" x14ac:dyDescent="0.25">
      <c r="B32" s="11" t="s">
        <v>47</v>
      </c>
      <c r="C32" s="92">
        <v>0</v>
      </c>
      <c r="D32" s="92">
        <v>0</v>
      </c>
      <c r="E32" s="92">
        <v>1</v>
      </c>
      <c r="F32" s="92">
        <v>1</v>
      </c>
      <c r="G32" s="92">
        <v>1</v>
      </c>
      <c r="H32" s="92">
        <v>1</v>
      </c>
      <c r="I32" s="92">
        <v>1</v>
      </c>
      <c r="J32" s="92">
        <v>1</v>
      </c>
      <c r="K32" s="92">
        <v>1</v>
      </c>
      <c r="L32" s="92">
        <v>1</v>
      </c>
      <c r="M32" s="92">
        <v>1</v>
      </c>
      <c r="N32" s="92">
        <v>1</v>
      </c>
      <c r="O32" s="92">
        <v>1</v>
      </c>
    </row>
    <row r="33" spans="1:15" ht="15.75" customHeight="1" x14ac:dyDescent="0.25">
      <c r="B33" s="11" t="s">
        <v>34</v>
      </c>
      <c r="C33" s="92">
        <f t="shared" ref="C33:O33" si="3">frac_malaria_risk</f>
        <v>0.47</v>
      </c>
      <c r="D33" s="92">
        <f t="shared" si="3"/>
        <v>0.47</v>
      </c>
      <c r="E33" s="92">
        <f t="shared" si="3"/>
        <v>0.47</v>
      </c>
      <c r="F33" s="92">
        <f t="shared" si="3"/>
        <v>0.47</v>
      </c>
      <c r="G33" s="92">
        <f t="shared" si="3"/>
        <v>0.47</v>
      </c>
      <c r="H33" s="92">
        <f t="shared" si="3"/>
        <v>0.47</v>
      </c>
      <c r="I33" s="92">
        <f t="shared" si="3"/>
        <v>0.47</v>
      </c>
      <c r="J33" s="92">
        <f t="shared" si="3"/>
        <v>0.47</v>
      </c>
      <c r="K33" s="92">
        <f t="shared" si="3"/>
        <v>0.47</v>
      </c>
      <c r="L33" s="92">
        <f t="shared" si="3"/>
        <v>0.47</v>
      </c>
      <c r="M33" s="92">
        <f t="shared" si="3"/>
        <v>0.47</v>
      </c>
      <c r="N33" s="92">
        <f t="shared" si="3"/>
        <v>0.47</v>
      </c>
      <c r="O33" s="92">
        <f t="shared" si="3"/>
        <v>0.47</v>
      </c>
    </row>
    <row r="34" spans="1:15" ht="15.75" customHeight="1" x14ac:dyDescent="0.25">
      <c r="B34" s="33" t="s">
        <v>83</v>
      </c>
      <c r="C34" s="92">
        <v>1</v>
      </c>
      <c r="D34" s="92">
        <v>1</v>
      </c>
      <c r="E34" s="92">
        <v>1</v>
      </c>
      <c r="F34" s="92">
        <v>1</v>
      </c>
      <c r="G34" s="92">
        <v>1</v>
      </c>
      <c r="H34" s="92">
        <v>1</v>
      </c>
      <c r="I34" s="92">
        <v>1</v>
      </c>
      <c r="J34" s="92">
        <v>1</v>
      </c>
      <c r="K34" s="92">
        <v>1</v>
      </c>
      <c r="L34" s="92">
        <v>1</v>
      </c>
      <c r="M34" s="92">
        <v>1</v>
      </c>
      <c r="N34" s="92">
        <v>1</v>
      </c>
      <c r="O34" s="92">
        <v>1</v>
      </c>
    </row>
    <row r="35" spans="1:15" ht="15.75" customHeight="1" x14ac:dyDescent="0.25">
      <c r="A35" s="5"/>
      <c r="B35" s="33" t="s">
        <v>82</v>
      </c>
      <c r="C35" s="92">
        <v>1</v>
      </c>
      <c r="D35" s="92">
        <v>1</v>
      </c>
      <c r="E35" s="92">
        <v>1</v>
      </c>
      <c r="F35" s="92">
        <v>1</v>
      </c>
      <c r="G35" s="92">
        <v>1</v>
      </c>
      <c r="H35" s="92">
        <v>1</v>
      </c>
      <c r="I35" s="92">
        <v>1</v>
      </c>
      <c r="J35" s="92">
        <v>1</v>
      </c>
      <c r="K35" s="92">
        <v>1</v>
      </c>
      <c r="L35" s="92">
        <v>1</v>
      </c>
      <c r="M35" s="92">
        <v>1</v>
      </c>
      <c r="N35" s="92">
        <v>1</v>
      </c>
      <c r="O35" s="92">
        <v>1</v>
      </c>
    </row>
    <row r="36" spans="1:15" s="5" customFormat="1" ht="15.75" customHeight="1" x14ac:dyDescent="0.25">
      <c r="B36" s="33" t="s">
        <v>81</v>
      </c>
      <c r="C36" s="92">
        <v>1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  <c r="I36" s="92">
        <v>1</v>
      </c>
      <c r="J36" s="92">
        <v>1</v>
      </c>
      <c r="K36" s="92">
        <v>1</v>
      </c>
      <c r="L36" s="92">
        <v>1</v>
      </c>
      <c r="M36" s="92">
        <v>1</v>
      </c>
      <c r="N36" s="92">
        <v>1</v>
      </c>
      <c r="O36" s="92">
        <v>1</v>
      </c>
    </row>
    <row r="37" spans="1:15" s="5" customFormat="1" ht="15.75" customHeight="1" x14ac:dyDescent="0.25">
      <c r="B37" s="33" t="s">
        <v>79</v>
      </c>
      <c r="C37" s="92">
        <v>1</v>
      </c>
      <c r="D37" s="92">
        <v>1</v>
      </c>
      <c r="E37" s="92">
        <v>1</v>
      </c>
      <c r="F37" s="92">
        <v>1</v>
      </c>
      <c r="G37" s="92">
        <v>1</v>
      </c>
      <c r="H37" s="92">
        <v>1</v>
      </c>
      <c r="I37" s="92">
        <v>1</v>
      </c>
      <c r="J37" s="92">
        <v>1</v>
      </c>
      <c r="K37" s="92">
        <v>1</v>
      </c>
      <c r="L37" s="92">
        <v>1</v>
      </c>
      <c r="M37" s="92">
        <v>1</v>
      </c>
      <c r="N37" s="92">
        <v>1</v>
      </c>
      <c r="O37" s="92">
        <v>1</v>
      </c>
    </row>
    <row r="38" spans="1:15" s="5" customFormat="1" ht="15.75" customHeight="1" x14ac:dyDescent="0.25">
      <c r="B38" s="33" t="s">
        <v>80</v>
      </c>
      <c r="C38" s="92">
        <v>1</v>
      </c>
      <c r="D38" s="92">
        <v>1</v>
      </c>
      <c r="E38" s="92">
        <v>1</v>
      </c>
      <c r="F38" s="92">
        <v>1</v>
      </c>
      <c r="G38" s="92">
        <v>1</v>
      </c>
      <c r="H38" s="92">
        <v>1</v>
      </c>
      <c r="I38" s="92">
        <v>1</v>
      </c>
      <c r="J38" s="92">
        <v>1</v>
      </c>
      <c r="K38" s="92">
        <v>1</v>
      </c>
      <c r="L38" s="92">
        <v>1</v>
      </c>
      <c r="M38" s="92">
        <v>1</v>
      </c>
      <c r="N38" s="92">
        <v>1</v>
      </c>
      <c r="O38" s="92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39"/>
  <sheetViews>
    <sheetView topLeftCell="A10" workbookViewId="0">
      <selection activeCell="B10" sqref="B10"/>
    </sheetView>
  </sheetViews>
  <sheetFormatPr defaultColWidth="14.453125" defaultRowHeight="15.75" customHeight="1" x14ac:dyDescent="0.25"/>
  <cols>
    <col min="1" max="1" width="56" style="52" customWidth="1"/>
    <col min="2" max="2" width="20" style="36" customWidth="1"/>
    <col min="3" max="3" width="20.453125" style="35" customWidth="1"/>
    <col min="4" max="4" width="20.1796875" style="35" customWidth="1"/>
    <col min="5" max="5" width="32.26953125" style="35" bestFit="1" customWidth="1"/>
    <col min="6" max="16384" width="14.453125" style="35"/>
  </cols>
  <sheetData>
    <row r="1" spans="1:5" ht="26" x14ac:dyDescent="0.3">
      <c r="A1" s="54" t="s">
        <v>69</v>
      </c>
      <c r="B1" s="66" t="str">
        <f>"Baseline ("&amp;start_year&amp;") coverage"</f>
        <v>Baseline (2017)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86">
        <v>37.913661484151682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86">
        <v>42.521345352857793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86">
        <v>99.033477395463237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86">
        <v>0.3705821075861872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86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86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86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86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86">
        <v>1.0985467948683532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86">
        <v>1.0985467948683532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86">
        <v>1.0985467948683532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86">
        <v>1.0985467948683532</v>
      </c>
      <c r="E13" s="86" t="s">
        <v>202</v>
      </c>
    </row>
    <row r="14" spans="1:5" ht="15.75" customHeight="1" x14ac:dyDescent="0.25">
      <c r="A14" s="11" t="s">
        <v>187</v>
      </c>
      <c r="B14" s="85">
        <v>5.5E-2</v>
      </c>
      <c r="C14" s="85">
        <v>0.95</v>
      </c>
      <c r="D14" s="86">
        <v>13.539057252878379</v>
      </c>
      <c r="E14" s="86" t="s">
        <v>202</v>
      </c>
    </row>
    <row r="15" spans="1:5" ht="15.75" customHeight="1" x14ac:dyDescent="0.25">
      <c r="A15" s="11" t="s">
        <v>209</v>
      </c>
      <c r="B15" s="85">
        <v>5.5E-2</v>
      </c>
      <c r="C15" s="85">
        <v>0.95</v>
      </c>
      <c r="D15" s="86">
        <v>13.539057252878379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86">
        <v>0.27829999072845574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86">
        <v>0.13690448396621577</v>
      </c>
      <c r="E17" s="86" t="s">
        <v>202</v>
      </c>
    </row>
    <row r="18" spans="1:5" ht="16" customHeight="1" x14ac:dyDescent="0.25">
      <c r="A18" s="52" t="s">
        <v>173</v>
      </c>
      <c r="B18" s="85">
        <v>0.26600000000000001</v>
      </c>
      <c r="C18" s="85">
        <v>0.95</v>
      </c>
      <c r="D18" s="87">
        <v>2.3779962403154156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87">
        <v>2.3779962403154156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87">
        <v>2.3779962403154156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86">
        <v>3.202185552868094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86">
        <v>23.103382705538191</v>
      </c>
      <c r="E22" s="86" t="s">
        <v>202</v>
      </c>
    </row>
    <row r="23" spans="1:5" ht="15.75" customHeight="1" x14ac:dyDescent="0.25">
      <c r="A23" s="52" t="s">
        <v>34</v>
      </c>
      <c r="B23" s="85">
        <v>0</v>
      </c>
      <c r="C23" s="85">
        <v>0.95</v>
      </c>
      <c r="D23" s="86">
        <v>4.4606327668435339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86">
        <v>19.540666812356978</v>
      </c>
      <c r="E24" s="86" t="s">
        <v>202</v>
      </c>
    </row>
    <row r="25" spans="1:5" ht="15.75" customHeight="1" x14ac:dyDescent="0.25">
      <c r="A25" s="52" t="s">
        <v>87</v>
      </c>
      <c r="B25" s="85">
        <v>0.13500000000000001</v>
      </c>
      <c r="C25" s="85">
        <v>0.95</v>
      </c>
      <c r="D25" s="86">
        <v>19.538012101442177</v>
      </c>
      <c r="E25" s="86" t="s">
        <v>202</v>
      </c>
    </row>
    <row r="26" spans="1:5" ht="15.75" customHeight="1" x14ac:dyDescent="0.25">
      <c r="A26" s="52" t="s">
        <v>137</v>
      </c>
      <c r="B26" s="85">
        <v>5.5E-2</v>
      </c>
      <c r="C26" s="85">
        <v>0.95</v>
      </c>
      <c r="D26" s="86">
        <v>4.510971471589138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86">
        <v>4.2511081173476706</v>
      </c>
      <c r="E27" s="86" t="s">
        <v>202</v>
      </c>
    </row>
    <row r="28" spans="1:5" ht="15.75" customHeight="1" x14ac:dyDescent="0.25">
      <c r="A28" s="52" t="s">
        <v>84</v>
      </c>
      <c r="B28" s="85">
        <v>0.253</v>
      </c>
      <c r="C28" s="85">
        <v>0.95</v>
      </c>
      <c r="D28" s="86">
        <v>3.0098224144608676</v>
      </c>
      <c r="E28" s="86" t="s">
        <v>202</v>
      </c>
    </row>
    <row r="29" spans="1:5" ht="15.75" customHeight="1" x14ac:dyDescent="0.25">
      <c r="A29" s="52" t="s">
        <v>58</v>
      </c>
      <c r="B29" s="85">
        <v>0.26600000000000001</v>
      </c>
      <c r="C29" s="85">
        <v>0.95</v>
      </c>
      <c r="D29" s="86">
        <v>67.736851795235324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86">
        <v>4.3271061521497272</v>
      </c>
      <c r="E30" s="86" t="s">
        <v>202</v>
      </c>
    </row>
    <row r="31" spans="1:5" ht="15.75" customHeight="1" x14ac:dyDescent="0.25">
      <c r="A31" s="52" t="s">
        <v>28</v>
      </c>
      <c r="B31" s="85">
        <v>0.57899999999999996</v>
      </c>
      <c r="C31" s="85">
        <v>0.95</v>
      </c>
      <c r="D31" s="86">
        <v>0.54641342226979839</v>
      </c>
      <c r="E31" s="86" t="s">
        <v>202</v>
      </c>
    </row>
    <row r="32" spans="1:5" ht="15.75" customHeight="1" x14ac:dyDescent="0.25">
      <c r="A32" s="52" t="s">
        <v>83</v>
      </c>
      <c r="B32" s="85">
        <v>0.62</v>
      </c>
      <c r="C32" s="85">
        <v>0.95</v>
      </c>
      <c r="D32" s="86">
        <v>1</v>
      </c>
      <c r="E32" s="86" t="s">
        <v>202</v>
      </c>
    </row>
    <row r="33" spans="1:6" ht="15.75" customHeight="1" x14ac:dyDescent="0.25">
      <c r="A33" s="52" t="s">
        <v>82</v>
      </c>
      <c r="B33" s="85">
        <v>0.377</v>
      </c>
      <c r="C33" s="85">
        <v>0.95</v>
      </c>
      <c r="D33" s="86">
        <v>2.8</v>
      </c>
      <c r="E33" s="86" t="s">
        <v>202</v>
      </c>
    </row>
    <row r="34" spans="1:6" ht="15.75" customHeight="1" x14ac:dyDescent="0.25">
      <c r="A34" s="52" t="s">
        <v>81</v>
      </c>
      <c r="B34" s="85">
        <v>0.53299999999999992</v>
      </c>
      <c r="C34" s="85">
        <v>0.95</v>
      </c>
      <c r="D34" s="86">
        <v>50.26</v>
      </c>
      <c r="E34" s="86" t="s">
        <v>202</v>
      </c>
    </row>
    <row r="35" spans="1:6" ht="15.75" customHeight="1" x14ac:dyDescent="0.25">
      <c r="A35" s="52" t="s">
        <v>79</v>
      </c>
      <c r="B35" s="85">
        <v>0.54899999999999993</v>
      </c>
      <c r="C35" s="85">
        <v>0.95</v>
      </c>
      <c r="D35" s="86">
        <v>36.1</v>
      </c>
      <c r="E35" s="86" t="s">
        <v>202</v>
      </c>
    </row>
    <row r="36" spans="1:6" s="36" customFormat="1" ht="15.75" customHeight="1" x14ac:dyDescent="0.25">
      <c r="A36" s="52" t="s">
        <v>80</v>
      </c>
      <c r="B36" s="85">
        <v>0.40399999999999997</v>
      </c>
      <c r="C36" s="85">
        <v>0.95</v>
      </c>
      <c r="D36" s="86">
        <v>231.85</v>
      </c>
      <c r="E36" s="86" t="s">
        <v>202</v>
      </c>
      <c r="F36" s="35"/>
    </row>
    <row r="37" spans="1:6" ht="15.75" customHeight="1" x14ac:dyDescent="0.25">
      <c r="A37" s="52" t="s">
        <v>85</v>
      </c>
      <c r="B37" s="85">
        <v>4.0000000000000001E-3</v>
      </c>
      <c r="C37" s="85">
        <v>0.95</v>
      </c>
      <c r="D37" s="86">
        <v>8.7522201431810966</v>
      </c>
      <c r="E37" s="86" t="s">
        <v>202</v>
      </c>
    </row>
    <row r="38" spans="1:6" ht="15.75" customHeight="1" x14ac:dyDescent="0.25">
      <c r="A38" s="52" t="s">
        <v>60</v>
      </c>
      <c r="B38" s="85">
        <v>4.0000000000000001E-3</v>
      </c>
      <c r="C38" s="85">
        <v>0.95</v>
      </c>
      <c r="D38" s="86">
        <v>0.56919801145042948</v>
      </c>
      <c r="E38" s="86" t="s">
        <v>202</v>
      </c>
    </row>
    <row r="39" spans="1:6" ht="15.75" customHeight="1" x14ac:dyDescent="0.25">
      <c r="F39" s="36"/>
    </row>
  </sheetData>
  <sheetProtection algorithmName="SHA-512" hashValue="zGqGWUHks9r73YYvhtsA/6n2sxkq6NyOLMnszdwkuYHRGc3RAKyH9yLxkOwoypM6IGMaCGHxxq0vP7rXnZY93w==" saltValue="sA5n05NYbI4nfIN6wumz0A==" spinCount="100000" sheet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81640625" defaultRowHeight="15.5" x14ac:dyDescent="0.35"/>
  <cols>
    <col min="1" max="1" width="18.7265625" style="55" customWidth="1"/>
    <col min="2" max="16384" width="10.81640625" style="55"/>
  </cols>
  <sheetData>
    <row r="1" spans="1:5" ht="52.5" x14ac:dyDescent="0.35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5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5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5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5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5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5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tabSelected="1" workbookViewId="0">
      <selection activeCell="B6" sqref="B6"/>
    </sheetView>
  </sheetViews>
  <sheetFormatPr defaultColWidth="11.453125" defaultRowHeight="12.5" x14ac:dyDescent="0.25"/>
  <cols>
    <col min="1" max="1" width="53" style="52" bestFit="1" customWidth="1"/>
    <col min="2" max="2" width="47.81640625" style="35" customWidth="1"/>
    <col min="3" max="3" width="42.453125" style="35" customWidth="1"/>
    <col min="4" max="16384" width="11.453125" style="35"/>
  </cols>
  <sheetData>
    <row r="1" spans="1:3" ht="13" x14ac:dyDescent="0.3">
      <c r="A1" s="40" t="s">
        <v>69</v>
      </c>
      <c r="B1" s="40" t="s">
        <v>180</v>
      </c>
      <c r="C1" s="40" t="s">
        <v>179</v>
      </c>
    </row>
    <row r="2" spans="1:3" x14ac:dyDescent="0.25">
      <c r="A2" s="88" t="s">
        <v>187</v>
      </c>
      <c r="B2" s="84" t="s">
        <v>59</v>
      </c>
      <c r="C2" s="84"/>
    </row>
    <row r="3" spans="1:3" x14ac:dyDescent="0.25">
      <c r="A3" s="88" t="s">
        <v>209</v>
      </c>
      <c r="B3" s="84" t="s">
        <v>59</v>
      </c>
      <c r="C3" s="84"/>
    </row>
    <row r="4" spans="1:3" x14ac:dyDescent="0.25">
      <c r="A4" s="89" t="s">
        <v>137</v>
      </c>
      <c r="B4" s="84" t="s">
        <v>136</v>
      </c>
      <c r="C4" s="84"/>
    </row>
    <row r="5" spans="1:3" x14ac:dyDescent="0.25">
      <c r="A5" s="89"/>
      <c r="B5" s="90"/>
      <c r="C5" s="90"/>
    </row>
    <row r="6" spans="1:3" x14ac:dyDescent="0.25">
      <c r="A6" s="89"/>
      <c r="B6" s="90"/>
      <c r="C6" s="90"/>
    </row>
    <row r="7" spans="1:3" x14ac:dyDescent="0.25">
      <c r="A7" s="89"/>
      <c r="B7" s="90"/>
      <c r="C7" s="90"/>
    </row>
    <row r="8" spans="1:3" x14ac:dyDescent="0.25">
      <c r="A8" s="89"/>
      <c r="B8" s="90"/>
      <c r="C8" s="90"/>
    </row>
    <row r="9" spans="1:3" x14ac:dyDescent="0.25">
      <c r="A9" s="89"/>
      <c r="B9" s="90"/>
      <c r="C9" s="90"/>
    </row>
    <row r="10" spans="1:3" x14ac:dyDescent="0.25">
      <c r="A10" s="89"/>
      <c r="B10" s="90"/>
      <c r="C10" s="90"/>
    </row>
    <row r="11" spans="1:3" x14ac:dyDescent="0.25">
      <c r="A11" s="91"/>
      <c r="B11" s="90"/>
      <c r="C11" s="90"/>
    </row>
    <row r="12" spans="1:3" x14ac:dyDescent="0.25">
      <c r="A12" s="91"/>
      <c r="B12" s="90"/>
      <c r="C12" s="90"/>
    </row>
    <row r="13" spans="1:3" x14ac:dyDescent="0.25">
      <c r="A13" s="91"/>
      <c r="B13" s="90"/>
      <c r="C13" s="90"/>
    </row>
    <row r="14" spans="1:3" x14ac:dyDescent="0.25">
      <c r="A14" s="91"/>
      <c r="B14" s="90"/>
      <c r="C14" s="90"/>
    </row>
    <row r="15" spans="1:3" x14ac:dyDescent="0.25">
      <c r="A15" s="91"/>
      <c r="B15" s="90"/>
      <c r="C15" s="90"/>
    </row>
    <row r="16" spans="1:3" x14ac:dyDescent="0.25">
      <c r="A16" s="91"/>
      <c r="B16" s="90"/>
      <c r="C16" s="90"/>
    </row>
    <row r="17" spans="1:3" x14ac:dyDescent="0.25">
      <c r="A17" s="91"/>
      <c r="B17" s="90"/>
      <c r="C17" s="90"/>
    </row>
    <row r="18" spans="1:3" x14ac:dyDescent="0.25">
      <c r="A18" s="91"/>
      <c r="B18" s="90"/>
      <c r="C18" s="90"/>
    </row>
    <row r="19" spans="1:3" x14ac:dyDescent="0.25">
      <c r="A19" s="89"/>
      <c r="B19" s="90"/>
      <c r="C19" s="90"/>
    </row>
    <row r="20" spans="1:3" x14ac:dyDescent="0.25">
      <c r="A20" s="89"/>
      <c r="B20" s="90"/>
      <c r="C20" s="90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G22" sqref="G22"/>
    </sheetView>
  </sheetViews>
  <sheetFormatPr defaultColWidth="11.453125" defaultRowHeight="12.5" x14ac:dyDescent="0.25"/>
  <cols>
    <col min="1" max="1" width="30.1796875" style="35" customWidth="1"/>
    <col min="2" max="16384" width="11.453125" style="35"/>
  </cols>
  <sheetData>
    <row r="1" spans="1:1" ht="13" x14ac:dyDescent="0.3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6.2433114033049995</v>
      </c>
      <c r="C2" s="26">
        <f>'Baseline year population inputs'!C52</f>
        <v>6.0411728511799998</v>
      </c>
      <c r="D2" s="26">
        <f>'Baseline year population inputs'!C53</f>
        <v>6.0411728511799998</v>
      </c>
      <c r="E2" s="26">
        <f>'Baseline year population inputs'!C54</f>
        <v>4.4073019356999898</v>
      </c>
      <c r="F2" s="26">
        <f>'Baseline year population inputs'!C55</f>
        <v>4.4073019356999898</v>
      </c>
    </row>
    <row r="3" spans="1:6" ht="15.75" customHeight="1" x14ac:dyDescent="0.25">
      <c r="A3" s="3" t="s">
        <v>65</v>
      </c>
      <c r="B3" s="26">
        <f>frac_mam_1month * 2.6</f>
        <v>0.29972118800000003</v>
      </c>
      <c r="C3" s="26">
        <f>frac_mam_1_5months * 2.6</f>
        <v>0.29972118800000003</v>
      </c>
      <c r="D3" s="26">
        <f>frac_mam_6_11months * 2.6</f>
        <v>0.3830229</v>
      </c>
      <c r="E3" s="26">
        <f>frac_mam_12_23months * 2.6</f>
        <v>0.35368159840000002</v>
      </c>
      <c r="F3" s="26">
        <f>frac_mam_24_59months * 2.6</f>
        <v>0.24472201866666671</v>
      </c>
    </row>
    <row r="4" spans="1:6" ht="15.75" customHeight="1" x14ac:dyDescent="0.25">
      <c r="A4" s="3" t="s">
        <v>66</v>
      </c>
      <c r="B4" s="26">
        <f>frac_sam_1month * 2.6</f>
        <v>0.24719591000000002</v>
      </c>
      <c r="C4" s="26">
        <f>frac_sam_1_5months * 2.6</f>
        <v>0.24719591000000002</v>
      </c>
      <c r="D4" s="26">
        <f>frac_sam_6_11months * 2.6</f>
        <v>0.26559429000000001</v>
      </c>
      <c r="E4" s="26">
        <f>frac_sam_12_23months * 2.6</f>
        <v>0.16346523960000003</v>
      </c>
      <c r="F4" s="26">
        <f>frac_sam_24_59months * 2.6</f>
        <v>9.1763975333333317E-2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53125" defaultRowHeight="12.5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53125" defaultRowHeight="12.5" x14ac:dyDescent="0.25"/>
  <cols>
    <col min="1" max="1" width="33.7265625" style="35" customWidth="1"/>
    <col min="2" max="2" width="12.453125" style="35" customWidth="1"/>
    <col min="3" max="4" width="11.453125" style="35"/>
    <col min="5" max="5" width="17.453125" style="35" customWidth="1"/>
    <col min="6" max="16384" width="11.453125" style="35"/>
  </cols>
  <sheetData>
    <row r="1" spans="1:5" ht="13" x14ac:dyDescent="0.3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4" x14ac:dyDescent="0.3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3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3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3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3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3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3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3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3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1"/>
  <sheetViews>
    <sheetView zoomScale="50" zoomScaleNormal="50" workbookViewId="0">
      <selection activeCell="J39" sqref="J39"/>
    </sheetView>
  </sheetViews>
  <sheetFormatPr defaultColWidth="16.1796875" defaultRowHeight="15.75" customHeight="1" x14ac:dyDescent="0.35"/>
  <cols>
    <col min="1" max="1" width="22.26953125" style="57" bestFit="1" customWidth="1"/>
    <col min="2" max="2" width="58.81640625" style="57" bestFit="1" customWidth="1"/>
    <col min="3" max="3" width="9.453125" style="57" bestFit="1" customWidth="1"/>
    <col min="4" max="4" width="11.1796875" style="57" bestFit="1" customWidth="1"/>
    <col min="5" max="5" width="12" style="57" bestFit="1" customWidth="1"/>
    <col min="6" max="7" width="13.1796875" style="57" bestFit="1" customWidth="1"/>
    <col min="8" max="11" width="15.26953125" style="57" bestFit="1" customWidth="1"/>
    <col min="12" max="15" width="16.81640625" style="57" bestFit="1" customWidth="1"/>
    <col min="16" max="16384" width="16.1796875" style="57"/>
  </cols>
  <sheetData>
    <row r="1" spans="1:15" ht="15.75" customHeight="1" x14ac:dyDescent="0.35">
      <c r="A1" s="59" t="s">
        <v>33</v>
      </c>
      <c r="B1" s="94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5">
      <c r="A2" s="59" t="s">
        <v>31</v>
      </c>
      <c r="B2" s="52" t="s">
        <v>61</v>
      </c>
      <c r="C2" s="138">
        <v>0</v>
      </c>
      <c r="D2" s="138">
        <v>1</v>
      </c>
      <c r="E2" s="138">
        <v>1</v>
      </c>
      <c r="F2" s="138">
        <v>1</v>
      </c>
      <c r="G2" s="138">
        <v>1</v>
      </c>
      <c r="H2" s="138">
        <v>0</v>
      </c>
      <c r="I2" s="138">
        <v>0</v>
      </c>
      <c r="J2" s="138">
        <v>0</v>
      </c>
      <c r="K2" s="138">
        <v>0</v>
      </c>
      <c r="L2" s="138">
        <v>0</v>
      </c>
      <c r="M2" s="138">
        <v>0</v>
      </c>
      <c r="N2" s="138">
        <v>0</v>
      </c>
      <c r="O2" s="138">
        <v>0</v>
      </c>
    </row>
    <row r="3" spans="1:15" ht="15.75" customHeight="1" x14ac:dyDescent="0.35">
      <c r="B3" s="52" t="s">
        <v>149</v>
      </c>
      <c r="C3" s="138">
        <v>1</v>
      </c>
      <c r="D3" s="138">
        <v>1</v>
      </c>
      <c r="E3" s="138">
        <v>0</v>
      </c>
      <c r="F3" s="138">
        <v>0</v>
      </c>
      <c r="G3" s="138">
        <v>0</v>
      </c>
      <c r="H3" s="138">
        <v>0</v>
      </c>
      <c r="I3" s="138">
        <v>0</v>
      </c>
      <c r="J3" s="138">
        <v>0</v>
      </c>
      <c r="K3" s="138">
        <v>0</v>
      </c>
      <c r="L3" s="138">
        <v>0</v>
      </c>
      <c r="M3" s="138">
        <v>0</v>
      </c>
      <c r="N3" s="138">
        <v>0</v>
      </c>
      <c r="O3" s="138">
        <v>0</v>
      </c>
    </row>
    <row r="4" spans="1:15" ht="15.75" customHeight="1" x14ac:dyDescent="0.35">
      <c r="B4" s="52" t="s">
        <v>173</v>
      </c>
      <c r="C4" s="138">
        <v>1</v>
      </c>
      <c r="D4" s="138">
        <v>1</v>
      </c>
      <c r="E4" s="138">
        <v>1</v>
      </c>
      <c r="F4" s="138">
        <v>1</v>
      </c>
      <c r="G4" s="138">
        <v>1</v>
      </c>
      <c r="H4" s="138">
        <v>0</v>
      </c>
      <c r="I4" s="138">
        <v>0</v>
      </c>
      <c r="J4" s="138">
        <v>0</v>
      </c>
      <c r="K4" s="138">
        <v>0</v>
      </c>
      <c r="L4" s="138">
        <v>0</v>
      </c>
      <c r="M4" s="138">
        <v>0</v>
      </c>
      <c r="N4" s="138">
        <v>0</v>
      </c>
      <c r="O4" s="138">
        <v>0</v>
      </c>
    </row>
    <row r="5" spans="1:15" ht="15.75" customHeight="1" x14ac:dyDescent="0.35">
      <c r="B5" s="52" t="s">
        <v>199</v>
      </c>
      <c r="C5" s="138">
        <v>1</v>
      </c>
      <c r="D5" s="138">
        <v>1</v>
      </c>
      <c r="E5" s="138">
        <v>1</v>
      </c>
      <c r="F5" s="138">
        <v>1</v>
      </c>
      <c r="G5" s="138">
        <v>1</v>
      </c>
      <c r="H5" s="138">
        <v>0</v>
      </c>
      <c r="I5" s="138">
        <v>0</v>
      </c>
      <c r="J5" s="138">
        <v>0</v>
      </c>
      <c r="K5" s="138">
        <v>0</v>
      </c>
      <c r="L5" s="138">
        <v>0</v>
      </c>
      <c r="M5" s="138">
        <v>0</v>
      </c>
      <c r="N5" s="138">
        <v>0</v>
      </c>
      <c r="O5" s="138">
        <v>0</v>
      </c>
    </row>
    <row r="6" spans="1:15" ht="15.75" customHeight="1" x14ac:dyDescent="0.35">
      <c r="B6" s="52" t="s">
        <v>200</v>
      </c>
      <c r="C6" s="138">
        <v>1</v>
      </c>
      <c r="D6" s="138">
        <v>1</v>
      </c>
      <c r="E6" s="138">
        <v>1</v>
      </c>
      <c r="F6" s="138">
        <v>1</v>
      </c>
      <c r="G6" s="138">
        <v>1</v>
      </c>
      <c r="H6" s="138">
        <v>0</v>
      </c>
      <c r="I6" s="138">
        <v>0</v>
      </c>
      <c r="J6" s="138">
        <v>0</v>
      </c>
      <c r="K6" s="138">
        <v>0</v>
      </c>
      <c r="L6" s="138">
        <v>0</v>
      </c>
      <c r="M6" s="138">
        <v>0</v>
      </c>
      <c r="N6" s="138">
        <v>0</v>
      </c>
      <c r="O6" s="138">
        <v>0</v>
      </c>
    </row>
    <row r="7" spans="1:15" ht="15.75" customHeight="1" x14ac:dyDescent="0.35">
      <c r="B7" s="52" t="s">
        <v>196</v>
      </c>
      <c r="C7" s="138">
        <v>1</v>
      </c>
      <c r="D7" s="138">
        <v>1</v>
      </c>
      <c r="E7" s="138">
        <v>0</v>
      </c>
      <c r="F7" s="138">
        <v>0</v>
      </c>
      <c r="G7" s="138">
        <v>0</v>
      </c>
      <c r="H7" s="138">
        <v>0</v>
      </c>
      <c r="I7" s="138">
        <v>0</v>
      </c>
      <c r="J7" s="138">
        <v>0</v>
      </c>
      <c r="K7" s="138">
        <v>0</v>
      </c>
      <c r="L7" s="138">
        <v>0</v>
      </c>
      <c r="M7" s="138">
        <v>0</v>
      </c>
      <c r="N7" s="138">
        <v>0</v>
      </c>
      <c r="O7" s="138">
        <v>0</v>
      </c>
    </row>
    <row r="8" spans="1:15" ht="15.75" customHeight="1" x14ac:dyDescent="0.35">
      <c r="B8" s="52" t="s">
        <v>136</v>
      </c>
      <c r="C8" s="138">
        <v>0</v>
      </c>
      <c r="D8" s="138">
        <v>0</v>
      </c>
      <c r="E8" s="138">
        <v>1</v>
      </c>
      <c r="F8" s="138">
        <v>1</v>
      </c>
      <c r="G8" s="138">
        <v>0</v>
      </c>
      <c r="H8" s="138">
        <v>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</row>
    <row r="9" spans="1:15" ht="15.75" customHeight="1" x14ac:dyDescent="0.35">
      <c r="B9" s="52" t="s">
        <v>137</v>
      </c>
      <c r="C9" s="138">
        <v>0</v>
      </c>
      <c r="D9" s="138">
        <v>0</v>
      </c>
      <c r="E9" s="138">
        <v>1</v>
      </c>
      <c r="F9" s="138">
        <v>1</v>
      </c>
      <c r="G9" s="138">
        <v>1</v>
      </c>
      <c r="H9" s="138">
        <v>0</v>
      </c>
      <c r="I9" s="138">
        <v>0</v>
      </c>
      <c r="J9" s="138">
        <v>0</v>
      </c>
      <c r="K9" s="138">
        <v>0</v>
      </c>
      <c r="L9" s="138">
        <v>0</v>
      </c>
      <c r="M9" s="138">
        <v>0</v>
      </c>
      <c r="N9" s="138">
        <v>0</v>
      </c>
      <c r="O9" s="138">
        <v>0</v>
      </c>
    </row>
    <row r="10" spans="1:15" ht="15.75" customHeight="1" x14ac:dyDescent="0.35">
      <c r="B10" s="52" t="s">
        <v>84</v>
      </c>
      <c r="C10" s="138">
        <v>1</v>
      </c>
      <c r="D10" s="138">
        <v>1</v>
      </c>
      <c r="E10" s="138">
        <v>1</v>
      </c>
      <c r="F10" s="138">
        <v>1</v>
      </c>
      <c r="G10" s="138">
        <v>1</v>
      </c>
      <c r="H10" s="138">
        <v>0</v>
      </c>
      <c r="I10" s="138">
        <v>0</v>
      </c>
      <c r="J10" s="138">
        <v>0</v>
      </c>
      <c r="K10" s="138">
        <v>0</v>
      </c>
      <c r="L10" s="138">
        <v>0</v>
      </c>
      <c r="M10" s="138">
        <v>0</v>
      </c>
      <c r="N10" s="138">
        <v>0</v>
      </c>
      <c r="O10" s="138">
        <v>0</v>
      </c>
    </row>
    <row r="11" spans="1:15" ht="15.75" customHeight="1" x14ac:dyDescent="0.35">
      <c r="B11" s="52" t="s">
        <v>58</v>
      </c>
      <c r="C11" s="138">
        <v>0</v>
      </c>
      <c r="D11" s="138">
        <v>0</v>
      </c>
      <c r="E11" s="138">
        <v>1</v>
      </c>
      <c r="F11" s="138">
        <v>1</v>
      </c>
      <c r="G11" s="138">
        <v>0</v>
      </c>
      <c r="H11" s="138">
        <v>0</v>
      </c>
      <c r="I11" s="138">
        <v>0</v>
      </c>
      <c r="J11" s="138">
        <v>0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</row>
    <row r="12" spans="1:15" ht="15.75" customHeight="1" x14ac:dyDescent="0.35">
      <c r="B12" s="52" t="s">
        <v>67</v>
      </c>
      <c r="C12" s="138">
        <v>0</v>
      </c>
      <c r="D12" s="138">
        <v>1</v>
      </c>
      <c r="E12" s="138">
        <v>1</v>
      </c>
      <c r="F12" s="138">
        <v>1</v>
      </c>
      <c r="G12" s="138">
        <v>1</v>
      </c>
      <c r="H12" s="138">
        <v>0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</row>
    <row r="13" spans="1:15" ht="15.75" customHeight="1" x14ac:dyDescent="0.35">
      <c r="B13" s="52" t="s">
        <v>28</v>
      </c>
      <c r="C13" s="138">
        <v>0</v>
      </c>
      <c r="D13" s="138">
        <v>0</v>
      </c>
      <c r="E13" s="138">
        <v>1</v>
      </c>
      <c r="F13" s="138">
        <v>1</v>
      </c>
      <c r="G13" s="138">
        <v>1</v>
      </c>
      <c r="H13" s="138">
        <v>0</v>
      </c>
      <c r="I13" s="138">
        <v>0</v>
      </c>
      <c r="J13" s="138">
        <v>0</v>
      </c>
      <c r="K13" s="138">
        <v>0</v>
      </c>
      <c r="L13" s="138">
        <v>0</v>
      </c>
      <c r="M13" s="138">
        <v>0</v>
      </c>
      <c r="N13" s="138">
        <v>0</v>
      </c>
      <c r="O13" s="138">
        <v>0</v>
      </c>
    </row>
    <row r="14" spans="1:15" ht="15.75" customHeight="1" x14ac:dyDescent="0.35">
      <c r="B14" s="52" t="s">
        <v>85</v>
      </c>
      <c r="C14" s="138">
        <v>1</v>
      </c>
      <c r="D14" s="138">
        <v>1</v>
      </c>
      <c r="E14" s="138">
        <v>1</v>
      </c>
      <c r="F14" s="138">
        <v>1</v>
      </c>
      <c r="G14" s="138">
        <v>1</v>
      </c>
      <c r="H14" s="138">
        <v>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</row>
    <row r="15" spans="1:15" ht="15.75" customHeight="1" x14ac:dyDescent="0.35">
      <c r="B15" s="52" t="s">
        <v>60</v>
      </c>
      <c r="C15" s="138">
        <v>0</v>
      </c>
      <c r="D15" s="138">
        <v>0</v>
      </c>
      <c r="E15" s="138">
        <v>1</v>
      </c>
      <c r="F15" s="138">
        <v>1</v>
      </c>
      <c r="G15" s="138">
        <v>1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</row>
    <row r="16" spans="1:15" ht="15.75" customHeight="1" x14ac:dyDescent="0.35">
      <c r="B16" s="52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</row>
    <row r="17" spans="1:16" ht="15.75" customHeight="1" x14ac:dyDescent="0.35">
      <c r="A17" s="59" t="s">
        <v>32</v>
      </c>
      <c r="B17" s="52" t="s">
        <v>29</v>
      </c>
      <c r="C17" s="138">
        <v>0</v>
      </c>
      <c r="D17" s="138">
        <v>0</v>
      </c>
      <c r="E17" s="138">
        <v>0</v>
      </c>
      <c r="F17" s="138">
        <v>0</v>
      </c>
      <c r="G17" s="138">
        <v>0</v>
      </c>
      <c r="H17" s="138">
        <v>1</v>
      </c>
      <c r="I17" s="138">
        <v>1</v>
      </c>
      <c r="J17" s="138">
        <v>1</v>
      </c>
      <c r="K17" s="138">
        <v>1</v>
      </c>
      <c r="L17" s="138">
        <v>0</v>
      </c>
      <c r="M17" s="138">
        <v>0</v>
      </c>
      <c r="N17" s="138">
        <v>0</v>
      </c>
      <c r="O17" s="138">
        <v>0</v>
      </c>
    </row>
    <row r="18" spans="1:16" ht="15.75" customHeight="1" x14ac:dyDescent="0.35">
      <c r="A18" s="59"/>
      <c r="B18" s="52" t="s">
        <v>86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1</v>
      </c>
      <c r="I18" s="138">
        <v>1</v>
      </c>
      <c r="J18" s="138">
        <v>1</v>
      </c>
      <c r="K18" s="138">
        <v>1</v>
      </c>
      <c r="L18" s="138">
        <v>0</v>
      </c>
      <c r="M18" s="138">
        <v>0</v>
      </c>
      <c r="N18" s="138">
        <v>0</v>
      </c>
      <c r="O18" s="138">
        <v>0</v>
      </c>
    </row>
    <row r="19" spans="1:16" ht="15.75" customHeight="1" x14ac:dyDescent="0.35">
      <c r="B19" s="95" t="s">
        <v>187</v>
      </c>
      <c r="C19" s="138">
        <v>0</v>
      </c>
      <c r="D19" s="138">
        <v>0</v>
      </c>
      <c r="E19" s="138">
        <v>0</v>
      </c>
      <c r="F19" s="138">
        <v>0</v>
      </c>
      <c r="G19" s="138">
        <v>0</v>
      </c>
      <c r="H19" s="138">
        <v>1</v>
      </c>
      <c r="I19" s="138">
        <v>1</v>
      </c>
      <c r="J19" s="138">
        <v>1</v>
      </c>
      <c r="K19" s="138">
        <v>1</v>
      </c>
      <c r="L19" s="138">
        <v>0</v>
      </c>
      <c r="M19" s="138">
        <v>0</v>
      </c>
      <c r="N19" s="138">
        <v>0</v>
      </c>
      <c r="O19" s="138">
        <v>0</v>
      </c>
    </row>
    <row r="20" spans="1:16" ht="15.75" customHeight="1" x14ac:dyDescent="0.35">
      <c r="B20" s="95" t="s">
        <v>209</v>
      </c>
      <c r="C20" s="138">
        <v>0</v>
      </c>
      <c r="D20" s="138">
        <v>0</v>
      </c>
      <c r="E20" s="138">
        <v>0</v>
      </c>
      <c r="F20" s="138">
        <v>0</v>
      </c>
      <c r="G20" s="138">
        <v>0</v>
      </c>
      <c r="H20" s="138">
        <v>1</v>
      </c>
      <c r="I20" s="138">
        <v>1</v>
      </c>
      <c r="J20" s="138">
        <v>1</v>
      </c>
      <c r="K20" s="138">
        <v>1</v>
      </c>
      <c r="L20" s="138">
        <v>0</v>
      </c>
      <c r="M20" s="138">
        <v>0</v>
      </c>
      <c r="N20" s="138">
        <v>0</v>
      </c>
      <c r="O20" s="138">
        <v>0</v>
      </c>
    </row>
    <row r="21" spans="1:16" ht="15.75" customHeight="1" x14ac:dyDescent="0.35">
      <c r="B21" s="96" t="s">
        <v>57</v>
      </c>
      <c r="C21" s="138">
        <v>0</v>
      </c>
      <c r="D21" s="138">
        <v>0</v>
      </c>
      <c r="E21" s="138">
        <v>0</v>
      </c>
      <c r="F21" s="138">
        <v>0</v>
      </c>
      <c r="G21" s="138">
        <v>0</v>
      </c>
      <c r="H21" s="138">
        <v>1</v>
      </c>
      <c r="I21" s="138">
        <v>1</v>
      </c>
      <c r="J21" s="138">
        <v>1</v>
      </c>
      <c r="K21" s="138">
        <v>1</v>
      </c>
      <c r="L21" s="138">
        <v>0</v>
      </c>
      <c r="M21" s="138">
        <v>0</v>
      </c>
      <c r="N21" s="138">
        <v>0</v>
      </c>
      <c r="O21" s="138">
        <v>0</v>
      </c>
    </row>
    <row r="22" spans="1:16" ht="15.75" customHeight="1" x14ac:dyDescent="0.35">
      <c r="B22" s="52" t="s">
        <v>88</v>
      </c>
      <c r="C22" s="138">
        <v>0</v>
      </c>
      <c r="D22" s="138">
        <v>0</v>
      </c>
      <c r="E22" s="138">
        <v>0</v>
      </c>
      <c r="F22" s="138">
        <v>0</v>
      </c>
      <c r="G22" s="138">
        <v>0</v>
      </c>
      <c r="H22" s="138">
        <v>1</v>
      </c>
      <c r="I22" s="138">
        <v>1</v>
      </c>
      <c r="J22" s="138">
        <v>1</v>
      </c>
      <c r="K22" s="138">
        <v>1</v>
      </c>
      <c r="L22" s="138">
        <v>0</v>
      </c>
      <c r="M22" s="138">
        <v>0</v>
      </c>
      <c r="N22" s="138">
        <v>0</v>
      </c>
      <c r="O22" s="138">
        <v>0</v>
      </c>
    </row>
    <row r="23" spans="1:16" ht="15.75" customHeight="1" x14ac:dyDescent="0.35">
      <c r="B23" s="52" t="s">
        <v>87</v>
      </c>
      <c r="C23" s="138">
        <v>0</v>
      </c>
      <c r="D23" s="138">
        <v>0</v>
      </c>
      <c r="E23" s="138">
        <v>0</v>
      </c>
      <c r="F23" s="138">
        <v>0</v>
      </c>
      <c r="G23" s="138">
        <v>0</v>
      </c>
      <c r="H23" s="138">
        <v>1</v>
      </c>
      <c r="I23" s="138">
        <v>1</v>
      </c>
      <c r="J23" s="138">
        <v>1</v>
      </c>
      <c r="K23" s="138">
        <v>1</v>
      </c>
      <c r="L23" s="138">
        <v>0</v>
      </c>
      <c r="M23" s="138">
        <v>0</v>
      </c>
      <c r="N23" s="138">
        <v>0</v>
      </c>
      <c r="O23" s="138">
        <v>0</v>
      </c>
    </row>
    <row r="24" spans="1:16" ht="15.75" customHeight="1" x14ac:dyDescent="0.35">
      <c r="B24" s="52" t="s">
        <v>59</v>
      </c>
      <c r="C24" s="138">
        <v>0</v>
      </c>
      <c r="D24" s="138">
        <v>0</v>
      </c>
      <c r="E24" s="138">
        <v>0</v>
      </c>
      <c r="F24" s="138">
        <v>0</v>
      </c>
      <c r="G24" s="138">
        <v>0</v>
      </c>
      <c r="H24" s="138">
        <v>1</v>
      </c>
      <c r="I24" s="138">
        <v>1</v>
      </c>
      <c r="J24" s="138">
        <v>1</v>
      </c>
      <c r="K24" s="138">
        <v>1</v>
      </c>
      <c r="L24" s="138">
        <v>0</v>
      </c>
      <c r="M24" s="138">
        <v>0</v>
      </c>
      <c r="N24" s="138">
        <v>0</v>
      </c>
      <c r="O24" s="138">
        <v>0</v>
      </c>
    </row>
    <row r="25" spans="1:16" ht="15.75" customHeight="1" x14ac:dyDescent="0.35">
      <c r="B25" s="52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</row>
    <row r="26" spans="1:16" ht="16.149999999999999" customHeight="1" x14ac:dyDescent="0.35">
      <c r="A26" s="59" t="s">
        <v>37</v>
      </c>
      <c r="B26" s="52" t="s">
        <v>198</v>
      </c>
      <c r="C26" s="138">
        <v>0</v>
      </c>
      <c r="D26" s="138">
        <v>0</v>
      </c>
      <c r="E26" s="138">
        <v>0</v>
      </c>
      <c r="F26" s="138">
        <v>0</v>
      </c>
      <c r="G26" s="138">
        <v>0</v>
      </c>
      <c r="H26" s="138">
        <v>0</v>
      </c>
      <c r="I26" s="138">
        <v>0</v>
      </c>
      <c r="J26" s="138">
        <v>0</v>
      </c>
      <c r="K26" s="138">
        <v>0</v>
      </c>
      <c r="L26" s="138">
        <v>1</v>
      </c>
      <c r="M26" s="138">
        <v>0</v>
      </c>
      <c r="N26" s="138">
        <v>0</v>
      </c>
      <c r="O26" s="138">
        <v>0</v>
      </c>
      <c r="P26" s="97"/>
    </row>
    <row r="27" spans="1:16" ht="15.75" customHeight="1" x14ac:dyDescent="0.35">
      <c r="B27" s="63" t="s">
        <v>188</v>
      </c>
      <c r="C27" s="138">
        <v>0</v>
      </c>
      <c r="D27" s="138">
        <v>0</v>
      </c>
      <c r="E27" s="138">
        <v>0</v>
      </c>
      <c r="F27" s="138">
        <v>0</v>
      </c>
      <c r="G27" s="138">
        <v>0</v>
      </c>
      <c r="H27" s="138">
        <v>0</v>
      </c>
      <c r="I27" s="138">
        <v>0</v>
      </c>
      <c r="J27" s="138">
        <v>0</v>
      </c>
      <c r="K27" s="138">
        <v>0</v>
      </c>
      <c r="L27" s="138">
        <v>1</v>
      </c>
      <c r="M27" s="138">
        <v>1</v>
      </c>
      <c r="N27" s="138">
        <v>1</v>
      </c>
      <c r="O27" s="138">
        <v>1</v>
      </c>
    </row>
    <row r="28" spans="1:16" ht="15.75" customHeight="1" x14ac:dyDescent="0.35">
      <c r="A28" s="59"/>
      <c r="B28" s="63" t="s">
        <v>208</v>
      </c>
      <c r="C28" s="138">
        <v>0</v>
      </c>
      <c r="D28" s="138">
        <v>0</v>
      </c>
      <c r="E28" s="138">
        <v>0</v>
      </c>
      <c r="F28" s="138">
        <v>0</v>
      </c>
      <c r="G28" s="138">
        <v>0</v>
      </c>
      <c r="H28" s="138">
        <v>0</v>
      </c>
      <c r="I28" s="138">
        <v>0</v>
      </c>
      <c r="J28" s="138">
        <v>0</v>
      </c>
      <c r="K28" s="138">
        <v>0</v>
      </c>
      <c r="L28" s="138">
        <v>1</v>
      </c>
      <c r="M28" s="138">
        <v>1</v>
      </c>
      <c r="N28" s="138">
        <v>1</v>
      </c>
      <c r="O28" s="138">
        <v>1</v>
      </c>
    </row>
    <row r="29" spans="1:16" ht="15.75" customHeight="1" x14ac:dyDescent="0.35">
      <c r="B29" s="63" t="s">
        <v>189</v>
      </c>
      <c r="C29" s="138">
        <v>0</v>
      </c>
      <c r="D29" s="138">
        <v>0</v>
      </c>
      <c r="E29" s="138">
        <v>0</v>
      </c>
      <c r="F29" s="138">
        <v>0</v>
      </c>
      <c r="G29" s="138">
        <v>0</v>
      </c>
      <c r="H29" s="138">
        <v>0</v>
      </c>
      <c r="I29" s="138">
        <v>0</v>
      </c>
      <c r="J29" s="138">
        <v>0</v>
      </c>
      <c r="K29" s="138">
        <v>0</v>
      </c>
      <c r="L29" s="138">
        <v>1</v>
      </c>
      <c r="M29" s="138">
        <v>1</v>
      </c>
      <c r="N29" s="138">
        <v>1</v>
      </c>
      <c r="O29" s="138">
        <v>1</v>
      </c>
    </row>
    <row r="30" spans="1:16" ht="15.75" customHeight="1" x14ac:dyDescent="0.35">
      <c r="B30" s="63" t="s">
        <v>190</v>
      </c>
      <c r="C30" s="138">
        <v>0</v>
      </c>
      <c r="D30" s="138">
        <v>0</v>
      </c>
      <c r="E30" s="138">
        <v>0</v>
      </c>
      <c r="F30" s="138">
        <v>0</v>
      </c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1</v>
      </c>
      <c r="M30" s="138">
        <v>0</v>
      </c>
      <c r="N30" s="138">
        <v>0</v>
      </c>
      <c r="O30" s="138">
        <v>0</v>
      </c>
    </row>
    <row r="31" spans="1:16" ht="15.75" customHeight="1" x14ac:dyDescent="0.35">
      <c r="B31" s="52"/>
      <c r="C31" s="135"/>
      <c r="D31" s="135"/>
      <c r="E31" s="136"/>
      <c r="F31" s="136"/>
      <c r="G31" s="136"/>
      <c r="H31" s="136"/>
      <c r="I31" s="136"/>
      <c r="J31" s="134"/>
      <c r="K31" s="134"/>
      <c r="L31" s="134"/>
      <c r="M31" s="134"/>
      <c r="N31" s="134"/>
      <c r="O31" s="134"/>
    </row>
    <row r="32" spans="1:16" ht="15.75" customHeight="1" x14ac:dyDescent="0.35">
      <c r="A32" s="59" t="s">
        <v>35</v>
      </c>
      <c r="B32" s="52" t="s">
        <v>63</v>
      </c>
      <c r="C32" s="138">
        <v>1</v>
      </c>
      <c r="D32" s="138">
        <v>0</v>
      </c>
      <c r="E32" s="138">
        <v>1</v>
      </c>
      <c r="F32" s="138">
        <v>1</v>
      </c>
      <c r="G32" s="138">
        <v>1</v>
      </c>
      <c r="H32" s="138">
        <v>1</v>
      </c>
      <c r="I32" s="138">
        <v>1</v>
      </c>
      <c r="J32" s="138">
        <v>1</v>
      </c>
      <c r="K32" s="138">
        <v>1</v>
      </c>
      <c r="L32" s="138">
        <v>1</v>
      </c>
      <c r="M32" s="138">
        <v>1</v>
      </c>
      <c r="N32" s="138">
        <v>1</v>
      </c>
      <c r="O32" s="138">
        <v>1</v>
      </c>
    </row>
    <row r="33" spans="1:15" ht="15.75" customHeight="1" x14ac:dyDescent="0.35">
      <c r="B33" s="52" t="s">
        <v>64</v>
      </c>
      <c r="C33" s="138">
        <v>1</v>
      </c>
      <c r="D33" s="138">
        <v>0</v>
      </c>
      <c r="E33" s="138">
        <v>1</v>
      </c>
      <c r="F33" s="138">
        <v>1</v>
      </c>
      <c r="G33" s="138">
        <v>1</v>
      </c>
      <c r="H33" s="138">
        <v>1</v>
      </c>
      <c r="I33" s="138">
        <v>1</v>
      </c>
      <c r="J33" s="138">
        <v>1</v>
      </c>
      <c r="K33" s="138">
        <v>1</v>
      </c>
      <c r="L33" s="138">
        <v>1</v>
      </c>
      <c r="M33" s="138">
        <v>1</v>
      </c>
      <c r="N33" s="138">
        <v>1</v>
      </c>
      <c r="O33" s="138">
        <v>1</v>
      </c>
    </row>
    <row r="34" spans="1:15" ht="15.75" customHeight="1" x14ac:dyDescent="0.35">
      <c r="B34" s="52" t="s">
        <v>62</v>
      </c>
      <c r="C34" s="138">
        <v>1</v>
      </c>
      <c r="D34" s="138">
        <v>0</v>
      </c>
      <c r="E34" s="138">
        <v>1</v>
      </c>
      <c r="F34" s="138">
        <v>1</v>
      </c>
      <c r="G34" s="138">
        <v>1</v>
      </c>
      <c r="H34" s="138">
        <v>1</v>
      </c>
      <c r="I34" s="138">
        <v>1</v>
      </c>
      <c r="J34" s="138">
        <v>1</v>
      </c>
      <c r="K34" s="138">
        <v>1</v>
      </c>
      <c r="L34" s="138">
        <v>1</v>
      </c>
      <c r="M34" s="138">
        <v>1</v>
      </c>
      <c r="N34" s="138">
        <v>1</v>
      </c>
      <c r="O34" s="138">
        <v>1</v>
      </c>
    </row>
    <row r="35" spans="1:15" ht="15.75" customHeight="1" x14ac:dyDescent="0.35">
      <c r="B35" s="52" t="s">
        <v>47</v>
      </c>
      <c r="C35" s="138">
        <v>1</v>
      </c>
      <c r="D35" s="138">
        <v>0</v>
      </c>
      <c r="E35" s="138">
        <v>1</v>
      </c>
      <c r="F35" s="138">
        <v>1</v>
      </c>
      <c r="G35" s="138">
        <v>1</v>
      </c>
      <c r="H35" s="138">
        <v>1</v>
      </c>
      <c r="I35" s="138">
        <v>1</v>
      </c>
      <c r="J35" s="138">
        <v>1</v>
      </c>
      <c r="K35" s="138">
        <v>1</v>
      </c>
      <c r="L35" s="138">
        <v>1</v>
      </c>
      <c r="M35" s="138">
        <v>1</v>
      </c>
      <c r="N35" s="138">
        <v>1</v>
      </c>
      <c r="O35" s="138">
        <v>1</v>
      </c>
    </row>
    <row r="36" spans="1:15" ht="15.75" customHeight="1" x14ac:dyDescent="0.35">
      <c r="B36" s="52" t="s">
        <v>34</v>
      </c>
      <c r="C36" s="138">
        <v>1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  <c r="I36" s="138">
        <v>1</v>
      </c>
      <c r="J36" s="138">
        <v>1</v>
      </c>
      <c r="K36" s="138">
        <v>1</v>
      </c>
      <c r="L36" s="138">
        <v>1</v>
      </c>
      <c r="M36" s="138">
        <v>1</v>
      </c>
      <c r="N36" s="138">
        <v>1</v>
      </c>
      <c r="O36" s="138">
        <v>1</v>
      </c>
    </row>
    <row r="37" spans="1:15" ht="15.75" customHeight="1" x14ac:dyDescent="0.35">
      <c r="A37" s="98"/>
      <c r="B37" s="52" t="s">
        <v>83</v>
      </c>
      <c r="C37" s="138">
        <v>1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  <c r="I37" s="138">
        <v>1</v>
      </c>
      <c r="J37" s="138">
        <v>1</v>
      </c>
      <c r="K37" s="138">
        <v>1</v>
      </c>
      <c r="L37" s="138">
        <v>1</v>
      </c>
      <c r="M37" s="138">
        <v>1</v>
      </c>
      <c r="N37" s="138">
        <v>1</v>
      </c>
      <c r="O37" s="138">
        <v>1</v>
      </c>
    </row>
    <row r="38" spans="1:15" s="98" customFormat="1" ht="15.75" customHeight="1" x14ac:dyDescent="0.35">
      <c r="B38" s="52" t="s">
        <v>82</v>
      </c>
      <c r="C38" s="138">
        <v>1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  <c r="I38" s="138">
        <v>1</v>
      </c>
      <c r="J38" s="138">
        <v>1</v>
      </c>
      <c r="K38" s="138">
        <v>1</v>
      </c>
      <c r="L38" s="138">
        <v>1</v>
      </c>
      <c r="M38" s="138">
        <v>1</v>
      </c>
      <c r="N38" s="138">
        <v>1</v>
      </c>
      <c r="O38" s="138">
        <v>1</v>
      </c>
    </row>
    <row r="39" spans="1:15" s="98" customFormat="1" ht="15.75" customHeight="1" x14ac:dyDescent="0.35">
      <c r="B39" s="52" t="s">
        <v>81</v>
      </c>
      <c r="C39" s="138">
        <v>1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  <c r="I39" s="138">
        <v>1</v>
      </c>
      <c r="J39" s="138">
        <v>1</v>
      </c>
      <c r="K39" s="138">
        <v>1</v>
      </c>
      <c r="L39" s="138">
        <v>1</v>
      </c>
      <c r="M39" s="138">
        <v>1</v>
      </c>
      <c r="N39" s="138">
        <v>1</v>
      </c>
      <c r="O39" s="138">
        <v>1</v>
      </c>
    </row>
    <row r="40" spans="1:15" s="98" customFormat="1" ht="15.75" customHeight="1" x14ac:dyDescent="0.35">
      <c r="B40" s="52" t="s">
        <v>79</v>
      </c>
      <c r="C40" s="138">
        <v>1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  <c r="I40" s="138">
        <v>1</v>
      </c>
      <c r="J40" s="138">
        <v>1</v>
      </c>
      <c r="K40" s="138">
        <v>1</v>
      </c>
      <c r="L40" s="138">
        <v>1</v>
      </c>
      <c r="M40" s="138">
        <v>1</v>
      </c>
      <c r="N40" s="138">
        <v>1</v>
      </c>
      <c r="O40" s="138">
        <v>1</v>
      </c>
    </row>
    <row r="41" spans="1:15" ht="15" customHeight="1" x14ac:dyDescent="0.35">
      <c r="B41" s="52" t="s">
        <v>80</v>
      </c>
      <c r="C41" s="138">
        <v>1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  <c r="I41" s="138">
        <v>1</v>
      </c>
      <c r="J41" s="138">
        <v>1</v>
      </c>
      <c r="K41" s="138">
        <v>1</v>
      </c>
      <c r="L41" s="138">
        <v>1</v>
      </c>
      <c r="M41" s="138">
        <v>1</v>
      </c>
      <c r="N41" s="138">
        <v>1</v>
      </c>
      <c r="O41" s="138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265625" defaultRowHeight="12.5" x14ac:dyDescent="0.25"/>
  <cols>
    <col min="1" max="1" width="58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8"/>
      <c r="C2" s="138"/>
      <c r="D2" s="138"/>
      <c r="E2" s="138"/>
      <c r="F2" s="138"/>
      <c r="G2" s="138"/>
      <c r="H2" s="138"/>
      <c r="I2" s="138" t="s">
        <v>194</v>
      </c>
      <c r="J2" s="138"/>
      <c r="K2" s="138"/>
    </row>
    <row r="3" spans="1:11" x14ac:dyDescent="0.25">
      <c r="A3" s="52" t="s">
        <v>86</v>
      </c>
      <c r="B3" s="138"/>
      <c r="C3" s="138"/>
      <c r="D3" s="138"/>
      <c r="E3" s="138"/>
      <c r="F3" s="138"/>
      <c r="G3" s="138"/>
      <c r="H3" s="138" t="s">
        <v>194</v>
      </c>
      <c r="I3" s="138"/>
      <c r="J3" s="138"/>
      <c r="K3" s="138"/>
    </row>
    <row r="4" spans="1:11" x14ac:dyDescent="0.25">
      <c r="A4" s="52" t="s">
        <v>61</v>
      </c>
      <c r="B4" s="138"/>
      <c r="C4" s="138"/>
      <c r="D4" s="138" t="s">
        <v>194</v>
      </c>
      <c r="E4" s="138"/>
      <c r="F4" s="138"/>
      <c r="G4" s="138"/>
      <c r="H4" s="138"/>
      <c r="I4" s="138"/>
      <c r="J4" s="138"/>
      <c r="K4" s="138"/>
    </row>
    <row r="5" spans="1:11" x14ac:dyDescent="0.25">
      <c r="A5" s="52" t="s">
        <v>149</v>
      </c>
      <c r="B5" s="138"/>
      <c r="C5" s="138" t="s">
        <v>194</v>
      </c>
      <c r="D5" s="138"/>
      <c r="E5" s="138"/>
      <c r="F5" s="138"/>
      <c r="G5" s="138"/>
      <c r="H5" s="138"/>
      <c r="I5" s="138"/>
      <c r="J5" s="138"/>
      <c r="K5" s="138"/>
    </row>
    <row r="6" spans="1:11" x14ac:dyDescent="0.25">
      <c r="A6" s="52" t="s">
        <v>198</v>
      </c>
      <c r="B6" s="138"/>
      <c r="C6" s="138"/>
      <c r="D6" s="138"/>
      <c r="E6" s="138"/>
      <c r="F6" s="138"/>
      <c r="G6" s="138"/>
      <c r="H6" s="138"/>
      <c r="I6" s="138"/>
      <c r="J6" s="138" t="s">
        <v>194</v>
      </c>
      <c r="K6" s="138" t="s">
        <v>194</v>
      </c>
    </row>
    <row r="7" spans="1:11" x14ac:dyDescent="0.25">
      <c r="A7" s="52" t="s">
        <v>63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/>
      <c r="J7" s="138"/>
      <c r="K7" s="138"/>
    </row>
    <row r="8" spans="1:11" x14ac:dyDescent="0.25">
      <c r="A8" s="52" t="s">
        <v>64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/>
      <c r="J8" s="138"/>
      <c r="K8" s="138"/>
    </row>
    <row r="9" spans="1:11" x14ac:dyDescent="0.25">
      <c r="A9" s="52" t="s">
        <v>62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/>
      <c r="J9" s="138"/>
      <c r="K9" s="138"/>
    </row>
    <row r="10" spans="1:11" x14ac:dyDescent="0.25">
      <c r="A10" s="63" t="s">
        <v>188</v>
      </c>
      <c r="B10" s="138"/>
      <c r="C10" s="138" t="s">
        <v>194</v>
      </c>
      <c r="D10" s="138"/>
      <c r="E10" s="138"/>
      <c r="F10" s="138"/>
      <c r="G10" s="138"/>
      <c r="H10" s="138"/>
      <c r="I10" s="138"/>
      <c r="J10" s="138"/>
      <c r="K10" s="138"/>
    </row>
    <row r="11" spans="1:11" x14ac:dyDescent="0.25">
      <c r="A11" s="63" t="s">
        <v>208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/>
      <c r="K11" s="138"/>
    </row>
    <row r="12" spans="1:11" x14ac:dyDescent="0.25">
      <c r="A12" s="63" t="s">
        <v>189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/>
    </row>
    <row r="13" spans="1:11" x14ac:dyDescent="0.25">
      <c r="A13" s="63" t="s">
        <v>190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/>
    </row>
    <row r="14" spans="1:11" x14ac:dyDescent="0.25">
      <c r="A14" s="95" t="s">
        <v>187</v>
      </c>
      <c r="B14" s="138"/>
      <c r="C14" s="138" t="s">
        <v>194</v>
      </c>
      <c r="D14" s="138"/>
      <c r="E14" s="138"/>
      <c r="F14" s="138"/>
      <c r="G14" s="138"/>
      <c r="H14" s="138"/>
      <c r="I14" s="138" t="s">
        <v>194</v>
      </c>
      <c r="J14" s="138"/>
      <c r="K14" s="138"/>
    </row>
    <row r="15" spans="1:11" x14ac:dyDescent="0.25">
      <c r="A15" s="95" t="s">
        <v>209</v>
      </c>
      <c r="B15" s="138"/>
      <c r="C15" s="138" t="s">
        <v>194</v>
      </c>
      <c r="D15" s="138"/>
      <c r="E15" s="138"/>
      <c r="F15" s="138"/>
      <c r="G15" s="138"/>
      <c r="H15" s="138"/>
      <c r="I15" s="138" t="s">
        <v>194</v>
      </c>
      <c r="J15" s="138"/>
      <c r="K15" s="138"/>
    </row>
    <row r="16" spans="1:11" x14ac:dyDescent="0.25">
      <c r="A16" s="52" t="s">
        <v>57</v>
      </c>
      <c r="B16" s="138"/>
      <c r="C16" s="138" t="s">
        <v>194</v>
      </c>
      <c r="D16" s="138"/>
      <c r="E16" s="138"/>
      <c r="F16" s="138"/>
      <c r="G16" s="138"/>
      <c r="H16" s="138" t="s">
        <v>194</v>
      </c>
      <c r="I16" s="138" t="s">
        <v>194</v>
      </c>
      <c r="J16" s="138"/>
      <c r="K16" s="138"/>
    </row>
    <row r="17" spans="1:11" x14ac:dyDescent="0.25">
      <c r="A17" s="52" t="s">
        <v>47</v>
      </c>
      <c r="B17" s="138"/>
      <c r="C17" s="138" t="s">
        <v>194</v>
      </c>
      <c r="D17" s="138"/>
      <c r="E17" s="138"/>
      <c r="F17" s="138"/>
      <c r="G17" s="138"/>
      <c r="H17" s="138"/>
      <c r="I17" s="138"/>
      <c r="J17" s="138"/>
      <c r="K17" s="138"/>
    </row>
    <row r="18" spans="1:11" x14ac:dyDescent="0.25">
      <c r="A18" s="52" t="s">
        <v>173</v>
      </c>
      <c r="B18" s="138" t="s">
        <v>194</v>
      </c>
      <c r="C18" s="138"/>
      <c r="D18" s="138"/>
      <c r="E18" s="138"/>
      <c r="F18" s="138" t="s">
        <v>194</v>
      </c>
      <c r="G18" s="138"/>
      <c r="H18" s="138"/>
      <c r="I18" s="138"/>
      <c r="J18" s="138"/>
      <c r="K18" s="138"/>
    </row>
    <row r="19" spans="1:11" x14ac:dyDescent="0.25">
      <c r="A19" s="52" t="s">
        <v>199</v>
      </c>
      <c r="B19" s="138" t="s">
        <v>194</v>
      </c>
      <c r="C19" s="138"/>
      <c r="D19" s="138"/>
      <c r="E19" s="138"/>
      <c r="F19" s="138" t="s">
        <v>194</v>
      </c>
      <c r="G19" s="138"/>
      <c r="H19" s="138"/>
      <c r="I19" s="138"/>
      <c r="J19" s="138"/>
      <c r="K19" s="138"/>
    </row>
    <row r="20" spans="1:11" x14ac:dyDescent="0.25">
      <c r="A20" s="52" t="s">
        <v>200</v>
      </c>
      <c r="B20" s="138" t="s">
        <v>194</v>
      </c>
      <c r="C20" s="138"/>
      <c r="D20" s="138"/>
      <c r="E20" s="138"/>
      <c r="F20" s="138" t="s">
        <v>194</v>
      </c>
      <c r="G20" s="138"/>
      <c r="H20" s="138"/>
      <c r="I20" s="138"/>
      <c r="J20" s="138"/>
      <c r="K20" s="138"/>
    </row>
    <row r="21" spans="1:11" x14ac:dyDescent="0.25">
      <c r="A21" s="52" t="s">
        <v>196</v>
      </c>
      <c r="B21" s="138"/>
      <c r="C21" s="138"/>
      <c r="D21" s="138"/>
      <c r="E21" s="138"/>
      <c r="F21" s="138"/>
      <c r="G21" s="138"/>
      <c r="H21" s="138" t="s">
        <v>194</v>
      </c>
      <c r="I21" s="138" t="s">
        <v>194</v>
      </c>
      <c r="J21" s="138"/>
      <c r="K21" s="138"/>
    </row>
    <row r="22" spans="1:11" x14ac:dyDescent="0.25">
      <c r="A22" s="52" t="s">
        <v>136</v>
      </c>
      <c r="B22" s="138" t="s">
        <v>194</v>
      </c>
      <c r="C22" s="138" t="s">
        <v>194</v>
      </c>
      <c r="D22" s="138" t="s">
        <v>194</v>
      </c>
      <c r="E22" s="138"/>
      <c r="F22" s="138"/>
      <c r="G22" s="138"/>
      <c r="H22" s="138"/>
      <c r="I22" s="138"/>
      <c r="J22" s="138"/>
      <c r="K22" s="138"/>
    </row>
    <row r="23" spans="1:11" x14ac:dyDescent="0.25">
      <c r="A23" s="52" t="s">
        <v>34</v>
      </c>
      <c r="B23" s="138"/>
      <c r="C23" s="138" t="s">
        <v>194</v>
      </c>
      <c r="D23" s="138"/>
      <c r="E23" s="138"/>
      <c r="F23" s="138"/>
      <c r="G23" s="138"/>
      <c r="H23" s="138"/>
      <c r="I23" s="138" t="s">
        <v>194</v>
      </c>
      <c r="J23" s="138"/>
      <c r="K23" s="138"/>
    </row>
    <row r="24" spans="1:11" x14ac:dyDescent="0.25">
      <c r="A24" s="52" t="s">
        <v>88</v>
      </c>
      <c r="B24" s="138"/>
      <c r="C24" s="138"/>
      <c r="D24" s="138"/>
      <c r="E24" s="138"/>
      <c r="F24" s="138"/>
      <c r="G24" s="138"/>
      <c r="H24" s="138" t="s">
        <v>194</v>
      </c>
      <c r="I24" s="138"/>
      <c r="J24" s="138"/>
      <c r="K24" s="138"/>
    </row>
    <row r="25" spans="1:11" x14ac:dyDescent="0.25">
      <c r="A25" s="52" t="s">
        <v>87</v>
      </c>
      <c r="B25" s="138"/>
      <c r="C25" s="138"/>
      <c r="D25" s="138"/>
      <c r="E25" s="138"/>
      <c r="F25" s="138"/>
      <c r="G25" s="138"/>
      <c r="H25" s="138" t="s">
        <v>194</v>
      </c>
      <c r="I25" s="138"/>
      <c r="J25" s="138"/>
      <c r="K25" s="138"/>
    </row>
    <row r="26" spans="1:11" x14ac:dyDescent="0.25">
      <c r="A26" s="52" t="s">
        <v>137</v>
      </c>
      <c r="B26" s="138"/>
      <c r="C26" s="138" t="s">
        <v>194</v>
      </c>
      <c r="D26" s="138"/>
      <c r="E26" s="138"/>
      <c r="F26" s="138"/>
      <c r="G26" s="138"/>
      <c r="H26" s="138"/>
      <c r="I26" s="138"/>
      <c r="J26" s="138"/>
      <c r="K26" s="138"/>
    </row>
    <row r="27" spans="1:11" x14ac:dyDescent="0.25">
      <c r="A27" s="52" t="s">
        <v>59</v>
      </c>
      <c r="B27" s="138"/>
      <c r="C27" s="138" t="s">
        <v>194</v>
      </c>
      <c r="D27" s="138"/>
      <c r="E27" s="138"/>
      <c r="F27" s="138"/>
      <c r="G27" s="138"/>
      <c r="H27" s="138"/>
      <c r="I27" s="138" t="s">
        <v>194</v>
      </c>
      <c r="J27" s="138"/>
      <c r="K27" s="138"/>
    </row>
    <row r="28" spans="1:11" x14ac:dyDescent="0.25">
      <c r="A28" s="52" t="s">
        <v>84</v>
      </c>
      <c r="B28" s="138"/>
      <c r="C28" s="138"/>
      <c r="D28" s="138"/>
      <c r="E28" s="138"/>
      <c r="F28" s="138"/>
      <c r="G28" s="138"/>
      <c r="H28" s="138" t="s">
        <v>194</v>
      </c>
      <c r="I28" s="138"/>
      <c r="J28" s="138"/>
      <c r="K28" s="138"/>
    </row>
    <row r="29" spans="1:11" x14ac:dyDescent="0.25">
      <c r="A29" s="52" t="s">
        <v>58</v>
      </c>
      <c r="B29" s="138" t="s">
        <v>194</v>
      </c>
      <c r="C29" s="138"/>
      <c r="D29" s="138" t="s">
        <v>194</v>
      </c>
      <c r="E29" s="138"/>
      <c r="F29" s="138"/>
      <c r="G29" s="138"/>
      <c r="H29" s="138"/>
      <c r="I29" s="138"/>
      <c r="J29" s="138"/>
      <c r="K29" s="138"/>
    </row>
    <row r="30" spans="1:11" x14ac:dyDescent="0.25">
      <c r="A30" s="52" t="s">
        <v>67</v>
      </c>
      <c r="B30" s="138"/>
      <c r="C30" s="138"/>
      <c r="D30" s="138"/>
      <c r="E30" s="138" t="s">
        <v>194</v>
      </c>
      <c r="F30" s="138"/>
      <c r="G30" s="138"/>
      <c r="H30" s="138"/>
      <c r="I30" s="138"/>
      <c r="J30" s="138"/>
      <c r="K30" s="138"/>
    </row>
    <row r="31" spans="1:11" x14ac:dyDescent="0.25">
      <c r="A31" s="52" t="s">
        <v>28</v>
      </c>
      <c r="B31" s="138"/>
      <c r="C31" s="138"/>
      <c r="D31" s="138"/>
      <c r="E31" s="138"/>
      <c r="F31" s="138"/>
      <c r="G31" s="138" t="s">
        <v>194</v>
      </c>
      <c r="H31" s="138" t="s">
        <v>194</v>
      </c>
      <c r="I31" s="138"/>
      <c r="J31" s="138"/>
      <c r="K31" s="138"/>
    </row>
    <row r="32" spans="1:11" x14ac:dyDescent="0.25">
      <c r="A32" s="52" t="s">
        <v>83</v>
      </c>
      <c r="B32" s="138"/>
      <c r="C32" s="138"/>
      <c r="D32" s="138"/>
      <c r="E32" s="138"/>
      <c r="F32" s="138"/>
      <c r="G32" s="138" t="s">
        <v>194</v>
      </c>
      <c r="H32" s="138" t="s">
        <v>194</v>
      </c>
      <c r="I32" s="138"/>
      <c r="J32" s="138"/>
      <c r="K32" s="138"/>
    </row>
    <row r="33" spans="1:11" x14ac:dyDescent="0.25">
      <c r="A33" s="52" t="s">
        <v>82</v>
      </c>
      <c r="B33" s="138"/>
      <c r="C33" s="138"/>
      <c r="D33" s="138"/>
      <c r="E33" s="138"/>
      <c r="F33" s="138"/>
      <c r="G33" s="138" t="s">
        <v>194</v>
      </c>
      <c r="H33" s="138" t="s">
        <v>194</v>
      </c>
      <c r="I33" s="138"/>
      <c r="J33" s="138"/>
      <c r="K33" s="138"/>
    </row>
    <row r="34" spans="1:11" x14ac:dyDescent="0.25">
      <c r="A34" s="52" t="s">
        <v>81</v>
      </c>
      <c r="B34" s="138"/>
      <c r="C34" s="138"/>
      <c r="D34" s="138"/>
      <c r="E34" s="138"/>
      <c r="F34" s="138"/>
      <c r="G34" s="138" t="s">
        <v>194</v>
      </c>
      <c r="H34" s="138" t="s">
        <v>194</v>
      </c>
      <c r="I34" s="138"/>
      <c r="J34" s="138"/>
      <c r="K34" s="138"/>
    </row>
    <row r="35" spans="1:11" x14ac:dyDescent="0.25">
      <c r="A35" s="52" t="s">
        <v>79</v>
      </c>
      <c r="B35" s="138"/>
      <c r="C35" s="138"/>
      <c r="D35" s="138"/>
      <c r="E35" s="138"/>
      <c r="F35" s="138"/>
      <c r="G35" s="138" t="s">
        <v>194</v>
      </c>
      <c r="H35" s="138" t="s">
        <v>194</v>
      </c>
      <c r="I35" s="138"/>
      <c r="J35" s="138"/>
      <c r="K35" s="138"/>
    </row>
    <row r="36" spans="1:11" x14ac:dyDescent="0.25">
      <c r="A36" s="52" t="s">
        <v>80</v>
      </c>
      <c r="B36" s="138"/>
      <c r="C36" s="138"/>
      <c r="D36" s="138"/>
      <c r="E36" s="138"/>
      <c r="F36" s="138"/>
      <c r="G36" s="138" t="s">
        <v>194</v>
      </c>
      <c r="H36" s="138" t="s">
        <v>194</v>
      </c>
      <c r="I36" s="138"/>
      <c r="J36" s="138"/>
      <c r="K36" s="138"/>
    </row>
    <row r="37" spans="1:11" x14ac:dyDescent="0.25">
      <c r="A37" s="52" t="s">
        <v>85</v>
      </c>
      <c r="B37" s="138"/>
      <c r="C37" s="138"/>
      <c r="D37" s="138"/>
      <c r="E37" s="138"/>
      <c r="F37" s="138"/>
      <c r="G37" s="138"/>
      <c r="H37" s="138" t="s">
        <v>194</v>
      </c>
      <c r="I37" s="138"/>
      <c r="J37" s="138"/>
      <c r="K37" s="138"/>
    </row>
    <row r="38" spans="1:11" x14ac:dyDescent="0.25">
      <c r="A38" s="52" t="s">
        <v>60</v>
      </c>
      <c r="B38" s="138" t="s">
        <v>194</v>
      </c>
      <c r="C38" s="138"/>
      <c r="D38" s="138"/>
      <c r="E38" s="138"/>
      <c r="F38" s="138"/>
      <c r="G38" s="138" t="s">
        <v>194</v>
      </c>
      <c r="H38" s="138" t="s">
        <v>194</v>
      </c>
      <c r="I38" s="138"/>
      <c r="J38" s="138"/>
      <c r="K38" s="138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265625" defaultRowHeight="12.5" x14ac:dyDescent="0.25"/>
  <cols>
    <col min="1" max="1" width="16.81640625" style="35" bestFit="1" customWidth="1"/>
    <col min="2" max="2" width="8.7265625" style="35" bestFit="1" customWidth="1"/>
    <col min="3" max="3" width="8.81640625" style="35" bestFit="1" customWidth="1"/>
    <col min="4" max="4" width="18.26953125" style="35" bestFit="1" customWidth="1"/>
    <col min="5" max="5" width="17.453125" style="35" bestFit="1" customWidth="1"/>
    <col min="6" max="6" width="13.54296875" style="35" bestFit="1" customWidth="1"/>
    <col min="7" max="7" width="9.7265625" style="35" bestFit="1" customWidth="1"/>
    <col min="8" max="8" width="8.81640625" style="35" bestFit="1" customWidth="1"/>
    <col min="9" max="9" width="14.7265625" style="35" bestFit="1" customWidth="1"/>
    <col min="10" max="10" width="15.26953125" style="35" bestFit="1" customWidth="1"/>
    <col min="11" max="16384" width="12.7265625" style="35"/>
  </cols>
  <sheetData>
    <row r="1" spans="1:11" ht="13" x14ac:dyDescent="0.3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8" t="s">
        <v>194</v>
      </c>
      <c r="C2" s="138" t="s">
        <v>194</v>
      </c>
      <c r="D2" s="138" t="s">
        <v>194</v>
      </c>
      <c r="E2" s="138" t="s">
        <v>194</v>
      </c>
      <c r="F2" s="138" t="s">
        <v>194</v>
      </c>
      <c r="G2" s="138" t="s">
        <v>194</v>
      </c>
      <c r="H2" s="138" t="s">
        <v>194</v>
      </c>
      <c r="I2" s="138"/>
      <c r="J2" s="138"/>
      <c r="K2" s="138"/>
    </row>
    <row r="3" spans="1:11" x14ac:dyDescent="0.25">
      <c r="A3" s="35" t="s">
        <v>2</v>
      </c>
      <c r="B3" s="138" t="s">
        <v>194</v>
      </c>
      <c r="C3" s="138" t="s">
        <v>194</v>
      </c>
      <c r="D3" s="138" t="s">
        <v>194</v>
      </c>
      <c r="E3" s="138" t="s">
        <v>194</v>
      </c>
      <c r="F3" s="138" t="s">
        <v>194</v>
      </c>
      <c r="G3" s="138" t="s">
        <v>194</v>
      </c>
      <c r="H3" s="138" t="s">
        <v>194</v>
      </c>
      <c r="I3" s="138"/>
      <c r="J3" s="138"/>
      <c r="K3" s="138"/>
    </row>
    <row r="4" spans="1:11" x14ac:dyDescent="0.25">
      <c r="A4" s="35" t="s">
        <v>3</v>
      </c>
      <c r="B4" s="138" t="s">
        <v>194</v>
      </c>
      <c r="C4" s="138" t="s">
        <v>194</v>
      </c>
      <c r="D4" s="138" t="s">
        <v>194</v>
      </c>
      <c r="E4" s="138" t="s">
        <v>194</v>
      </c>
      <c r="F4" s="138" t="s">
        <v>194</v>
      </c>
      <c r="G4" s="138" t="s">
        <v>194</v>
      </c>
      <c r="H4" s="138" t="s">
        <v>194</v>
      </c>
      <c r="I4" s="138"/>
      <c r="J4" s="138"/>
      <c r="K4" s="138"/>
    </row>
    <row r="5" spans="1:11" x14ac:dyDescent="0.25">
      <c r="A5" s="35" t="s">
        <v>4</v>
      </c>
      <c r="B5" s="138" t="s">
        <v>194</v>
      </c>
      <c r="C5" s="138" t="s">
        <v>194</v>
      </c>
      <c r="D5" s="138" t="s">
        <v>194</v>
      </c>
      <c r="E5" s="138" t="s">
        <v>194</v>
      </c>
      <c r="F5" s="138" t="s">
        <v>194</v>
      </c>
      <c r="G5" s="138" t="s">
        <v>194</v>
      </c>
      <c r="H5" s="138" t="s">
        <v>194</v>
      </c>
      <c r="I5" s="138"/>
      <c r="J5" s="138"/>
      <c r="K5" s="138"/>
    </row>
    <row r="6" spans="1:11" x14ac:dyDescent="0.25">
      <c r="A6" s="35" t="s">
        <v>5</v>
      </c>
      <c r="B6" s="138" t="s">
        <v>194</v>
      </c>
      <c r="C6" s="138" t="s">
        <v>194</v>
      </c>
      <c r="D6" s="138" t="s">
        <v>194</v>
      </c>
      <c r="E6" s="138" t="s">
        <v>194</v>
      </c>
      <c r="F6" s="138" t="s">
        <v>194</v>
      </c>
      <c r="G6" s="138" t="s">
        <v>194</v>
      </c>
      <c r="H6" s="138" t="s">
        <v>194</v>
      </c>
      <c r="I6" s="138"/>
      <c r="J6" s="138"/>
      <c r="K6" s="138"/>
    </row>
    <row r="7" spans="1:11" x14ac:dyDescent="0.25">
      <c r="A7" s="35" t="s">
        <v>53</v>
      </c>
      <c r="B7" s="138"/>
      <c r="C7" s="138" t="s">
        <v>194</v>
      </c>
      <c r="D7" s="138"/>
      <c r="E7" s="138"/>
      <c r="F7" s="138"/>
      <c r="G7" s="138"/>
      <c r="H7" s="138" t="s">
        <v>194</v>
      </c>
      <c r="I7" s="138" t="s">
        <v>194</v>
      </c>
      <c r="J7" s="138"/>
      <c r="K7" s="138"/>
    </row>
    <row r="8" spans="1:11" x14ac:dyDescent="0.25">
      <c r="A8" s="35" t="s">
        <v>54</v>
      </c>
      <c r="B8" s="138"/>
      <c r="C8" s="138" t="s">
        <v>194</v>
      </c>
      <c r="D8" s="138"/>
      <c r="E8" s="138"/>
      <c r="F8" s="138"/>
      <c r="G8" s="138"/>
      <c r="H8" s="138" t="s">
        <v>194</v>
      </c>
      <c r="I8" s="138" t="s">
        <v>194</v>
      </c>
      <c r="J8" s="138"/>
      <c r="K8" s="138"/>
    </row>
    <row r="9" spans="1:11" x14ac:dyDescent="0.25">
      <c r="A9" s="35" t="s">
        <v>55</v>
      </c>
      <c r="B9" s="138"/>
      <c r="C9" s="138" t="s">
        <v>194</v>
      </c>
      <c r="D9" s="138"/>
      <c r="E9" s="138"/>
      <c r="F9" s="138"/>
      <c r="G9" s="138"/>
      <c r="H9" s="138" t="s">
        <v>194</v>
      </c>
      <c r="I9" s="138" t="s">
        <v>194</v>
      </c>
      <c r="J9" s="138"/>
      <c r="K9" s="138"/>
    </row>
    <row r="10" spans="1:11" x14ac:dyDescent="0.25">
      <c r="A10" s="35" t="s">
        <v>56</v>
      </c>
      <c r="B10" s="138"/>
      <c r="C10" s="138" t="s">
        <v>194</v>
      </c>
      <c r="D10" s="138"/>
      <c r="E10" s="138"/>
      <c r="F10" s="138"/>
      <c r="G10" s="138"/>
      <c r="H10" s="138" t="s">
        <v>194</v>
      </c>
      <c r="I10" s="138" t="s">
        <v>194</v>
      </c>
      <c r="J10" s="138"/>
      <c r="K10" s="138"/>
    </row>
    <row r="11" spans="1:11" x14ac:dyDescent="0.25">
      <c r="A11" s="35" t="s">
        <v>49</v>
      </c>
      <c r="B11" s="138"/>
      <c r="C11" s="138" t="s">
        <v>194</v>
      </c>
      <c r="D11" s="138"/>
      <c r="E11" s="138"/>
      <c r="F11" s="138"/>
      <c r="G11" s="138"/>
      <c r="H11" s="138"/>
      <c r="I11" s="138"/>
      <c r="J11" s="138" t="s">
        <v>194</v>
      </c>
      <c r="K11" s="138" t="s">
        <v>194</v>
      </c>
    </row>
    <row r="12" spans="1:11" x14ac:dyDescent="0.25">
      <c r="A12" s="35" t="s">
        <v>50</v>
      </c>
      <c r="B12" s="138"/>
      <c r="C12" s="138" t="s">
        <v>194</v>
      </c>
      <c r="D12" s="138"/>
      <c r="E12" s="138"/>
      <c r="F12" s="138"/>
      <c r="G12" s="138"/>
      <c r="H12" s="138"/>
      <c r="I12" s="138"/>
      <c r="J12" s="138"/>
      <c r="K12" s="138" t="s">
        <v>194</v>
      </c>
    </row>
    <row r="13" spans="1:11" x14ac:dyDescent="0.25">
      <c r="A13" s="35" t="s">
        <v>51</v>
      </c>
      <c r="B13" s="138"/>
      <c r="C13" s="138" t="s">
        <v>194</v>
      </c>
      <c r="D13" s="138"/>
      <c r="E13" s="138"/>
      <c r="F13" s="138"/>
      <c r="G13" s="138"/>
      <c r="H13" s="138"/>
      <c r="I13" s="138"/>
      <c r="J13" s="138"/>
      <c r="K13" s="138" t="s">
        <v>194</v>
      </c>
    </row>
    <row r="14" spans="1:11" x14ac:dyDescent="0.25">
      <c r="A14" s="35" t="s">
        <v>52</v>
      </c>
      <c r="B14" s="138"/>
      <c r="C14" s="138" t="s">
        <v>194</v>
      </c>
      <c r="D14" s="138"/>
      <c r="E14" s="138"/>
      <c r="F14" s="138"/>
      <c r="G14" s="138"/>
      <c r="H14" s="138"/>
      <c r="I14" s="138"/>
      <c r="J14" s="138"/>
      <c r="K14" s="138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zoomScale="85" zoomScaleNormal="85" workbookViewId="0">
      <selection activeCell="G15" sqref="G15"/>
    </sheetView>
  </sheetViews>
  <sheetFormatPr defaultColWidth="12.7265625" defaultRowHeight="12.5" x14ac:dyDescent="0.25"/>
  <cols>
    <col min="1" max="1" width="48.1796875" style="35" customWidth="1"/>
    <col min="2" max="2" width="15" style="35" customWidth="1"/>
    <col min="3" max="3" width="14.7265625" style="35" customWidth="1"/>
    <col min="4" max="16384" width="12.7265625" style="35"/>
  </cols>
  <sheetData>
    <row r="1" spans="1:10" ht="13" x14ac:dyDescent="0.3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9" t="s">
        <v>5</v>
      </c>
    </row>
    <row r="2" spans="1:10" ht="13" x14ac:dyDescent="0.3">
      <c r="A2" s="40" t="s">
        <v>220</v>
      </c>
      <c r="B2" s="146" t="s">
        <v>32</v>
      </c>
      <c r="C2" s="35" t="s">
        <v>176</v>
      </c>
      <c r="D2" s="139">
        <v>1</v>
      </c>
      <c r="E2" s="139">
        <v>1</v>
      </c>
      <c r="F2" s="139">
        <v>1</v>
      </c>
      <c r="G2" s="139">
        <v>1</v>
      </c>
      <c r="H2" s="139">
        <v>1</v>
      </c>
    </row>
    <row r="3" spans="1:10" x14ac:dyDescent="0.25">
      <c r="B3" s="146"/>
      <c r="C3" s="35" t="s">
        <v>175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J3" s="100"/>
    </row>
    <row r="4" spans="1:10" x14ac:dyDescent="0.25">
      <c r="B4" s="146"/>
      <c r="C4" s="35" t="s">
        <v>174</v>
      </c>
      <c r="D4" s="139">
        <v>1</v>
      </c>
      <c r="E4" s="139">
        <v>1</v>
      </c>
      <c r="F4" s="139">
        <v>1</v>
      </c>
      <c r="G4" s="139">
        <v>1</v>
      </c>
      <c r="H4" s="139">
        <v>1</v>
      </c>
      <c r="J4" s="100"/>
    </row>
    <row r="5" spans="1:10" x14ac:dyDescent="0.25">
      <c r="B5" s="146" t="s">
        <v>1</v>
      </c>
      <c r="C5" s="35" t="s">
        <v>176</v>
      </c>
      <c r="D5" s="139">
        <f>5.16</f>
        <v>5.16</v>
      </c>
      <c r="E5" s="139">
        <v>1</v>
      </c>
      <c r="F5" s="139">
        <v>1</v>
      </c>
      <c r="G5" s="139">
        <v>1</v>
      </c>
      <c r="H5" s="139">
        <v>1</v>
      </c>
    </row>
    <row r="6" spans="1:10" x14ac:dyDescent="0.25">
      <c r="B6" s="146"/>
      <c r="C6" s="35" t="s">
        <v>175</v>
      </c>
      <c r="D6" s="139">
        <v>5.16</v>
      </c>
      <c r="E6" s="139">
        <v>1</v>
      </c>
      <c r="F6" s="139">
        <v>1</v>
      </c>
      <c r="G6" s="139">
        <v>1</v>
      </c>
      <c r="H6" s="139">
        <v>1</v>
      </c>
    </row>
    <row r="7" spans="1:10" x14ac:dyDescent="0.25">
      <c r="B7" s="146"/>
      <c r="C7" s="35" t="s">
        <v>174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</row>
    <row r="8" spans="1:10" x14ac:dyDescent="0.25">
      <c r="B8" s="146" t="s">
        <v>2</v>
      </c>
      <c r="C8" s="35" t="s">
        <v>176</v>
      </c>
      <c r="D8" s="139">
        <v>1</v>
      </c>
      <c r="E8" s="139">
        <v>5.16</v>
      </c>
      <c r="F8" s="139">
        <v>1</v>
      </c>
      <c r="G8" s="139">
        <v>1</v>
      </c>
      <c r="H8" s="139">
        <v>1</v>
      </c>
    </row>
    <row r="9" spans="1:10" x14ac:dyDescent="0.25">
      <c r="B9" s="146"/>
      <c r="C9" s="35" t="s">
        <v>175</v>
      </c>
      <c r="D9" s="139">
        <v>1</v>
      </c>
      <c r="E9" s="139">
        <v>5.16</v>
      </c>
      <c r="F9" s="139">
        <v>1</v>
      </c>
      <c r="G9" s="139">
        <v>1</v>
      </c>
      <c r="H9" s="139">
        <v>1</v>
      </c>
    </row>
    <row r="10" spans="1:10" x14ac:dyDescent="0.25">
      <c r="B10" s="146"/>
      <c r="C10" s="35" t="s">
        <v>174</v>
      </c>
      <c r="D10" s="139">
        <v>1</v>
      </c>
      <c r="E10" s="139">
        <v>1</v>
      </c>
      <c r="F10" s="139">
        <v>1</v>
      </c>
      <c r="G10" s="139">
        <v>1</v>
      </c>
      <c r="H10" s="139">
        <v>1</v>
      </c>
    </row>
    <row r="11" spans="1:10" x14ac:dyDescent="0.25">
      <c r="B11" s="146" t="s">
        <v>3</v>
      </c>
      <c r="C11" s="35" t="s">
        <v>176</v>
      </c>
      <c r="D11" s="139">
        <v>1</v>
      </c>
      <c r="E11" s="139">
        <v>1</v>
      </c>
      <c r="F11" s="139">
        <v>1.82</v>
      </c>
      <c r="G11" s="139">
        <v>1</v>
      </c>
      <c r="H11" s="139">
        <v>1</v>
      </c>
    </row>
    <row r="12" spans="1:10" x14ac:dyDescent="0.25">
      <c r="B12" s="146"/>
      <c r="C12" s="35" t="s">
        <v>175</v>
      </c>
      <c r="D12" s="139">
        <v>1</v>
      </c>
      <c r="E12" s="139">
        <v>1</v>
      </c>
      <c r="F12" s="139">
        <v>1.82</v>
      </c>
      <c r="G12" s="139">
        <v>1</v>
      </c>
      <c r="H12" s="139">
        <v>1</v>
      </c>
    </row>
    <row r="13" spans="1:10" x14ac:dyDescent="0.25">
      <c r="B13" s="146"/>
      <c r="C13" s="35" t="s">
        <v>174</v>
      </c>
      <c r="D13" s="139">
        <v>1</v>
      </c>
      <c r="E13" s="139">
        <v>1</v>
      </c>
      <c r="F13" s="139">
        <v>1</v>
      </c>
      <c r="G13" s="139">
        <v>1</v>
      </c>
      <c r="H13" s="139">
        <v>1</v>
      </c>
    </row>
    <row r="14" spans="1:10" x14ac:dyDescent="0.25">
      <c r="B14" s="146" t="s">
        <v>4</v>
      </c>
      <c r="C14" s="35" t="s">
        <v>176</v>
      </c>
      <c r="D14" s="139">
        <v>1</v>
      </c>
      <c r="E14" s="139">
        <v>1</v>
      </c>
      <c r="F14" s="139">
        <v>1</v>
      </c>
      <c r="G14" s="139">
        <v>1.82</v>
      </c>
      <c r="H14" s="139">
        <v>1</v>
      </c>
    </row>
    <row r="15" spans="1:10" x14ac:dyDescent="0.25">
      <c r="B15" s="146"/>
      <c r="C15" s="35" t="s">
        <v>175</v>
      </c>
      <c r="D15" s="139">
        <v>1</v>
      </c>
      <c r="E15" s="139">
        <v>1</v>
      </c>
      <c r="F15" s="139">
        <v>1</v>
      </c>
      <c r="G15" s="139">
        <v>1.82</v>
      </c>
      <c r="H15" s="139">
        <v>1</v>
      </c>
    </row>
    <row r="16" spans="1:10" x14ac:dyDescent="0.25">
      <c r="B16" s="146"/>
      <c r="C16" s="35" t="s">
        <v>174</v>
      </c>
      <c r="D16" s="139">
        <v>1</v>
      </c>
      <c r="E16" s="139">
        <v>1</v>
      </c>
      <c r="F16" s="139">
        <v>1</v>
      </c>
      <c r="G16" s="139">
        <v>1</v>
      </c>
      <c r="H16" s="139">
        <v>1</v>
      </c>
    </row>
    <row r="17" spans="1:8" ht="13" x14ac:dyDescent="0.25">
      <c r="B17" s="101" t="s">
        <v>172</v>
      </c>
      <c r="C17" s="35" t="s">
        <v>174</v>
      </c>
      <c r="D17" s="139">
        <v>1.05</v>
      </c>
      <c r="E17" s="139">
        <v>1.05</v>
      </c>
      <c r="F17" s="139">
        <v>1.05</v>
      </c>
      <c r="G17" s="139">
        <v>1.05</v>
      </c>
      <c r="H17" s="139">
        <v>1</v>
      </c>
    </row>
    <row r="18" spans="1:8" x14ac:dyDescent="0.25">
      <c r="D18" s="137"/>
      <c r="E18" s="137"/>
      <c r="F18" s="137"/>
      <c r="G18" s="137"/>
      <c r="H18" s="137"/>
    </row>
    <row r="19" spans="1:8" ht="13" x14ac:dyDescent="0.3">
      <c r="A19" s="40" t="s">
        <v>221</v>
      </c>
      <c r="B19" s="146" t="s">
        <v>32</v>
      </c>
      <c r="C19" s="35" t="s">
        <v>176</v>
      </c>
      <c r="D19" s="139">
        <v>1</v>
      </c>
      <c r="E19" s="139">
        <v>1</v>
      </c>
      <c r="F19" s="139">
        <v>0.98</v>
      </c>
      <c r="G19" s="139">
        <v>0.98</v>
      </c>
      <c r="H19" s="139">
        <v>1</v>
      </c>
    </row>
    <row r="20" spans="1:8" x14ac:dyDescent="0.25">
      <c r="B20" s="146"/>
      <c r="C20" s="35" t="s">
        <v>175</v>
      </c>
      <c r="D20" s="139">
        <v>1</v>
      </c>
      <c r="E20" s="139">
        <v>1</v>
      </c>
      <c r="F20" s="139">
        <v>0.98</v>
      </c>
      <c r="G20" s="139">
        <v>0.98</v>
      </c>
      <c r="H20" s="139">
        <v>1</v>
      </c>
    </row>
    <row r="21" spans="1:8" x14ac:dyDescent="0.25">
      <c r="B21" s="146"/>
      <c r="C21" s="35" t="s">
        <v>174</v>
      </c>
      <c r="D21" s="139">
        <v>1</v>
      </c>
      <c r="E21" s="139">
        <v>1</v>
      </c>
      <c r="F21" s="139">
        <v>0.99</v>
      </c>
      <c r="G21" s="139">
        <v>0.99</v>
      </c>
      <c r="H21" s="139">
        <v>1</v>
      </c>
    </row>
    <row r="22" spans="1:8" x14ac:dyDescent="0.25">
      <c r="B22" s="146" t="s">
        <v>1</v>
      </c>
      <c r="C22" s="35" t="s">
        <v>176</v>
      </c>
      <c r="D22" s="139">
        <v>1</v>
      </c>
      <c r="E22" s="139">
        <v>1</v>
      </c>
      <c r="F22" s="139">
        <v>1</v>
      </c>
      <c r="G22" s="139">
        <v>1</v>
      </c>
      <c r="H22" s="139">
        <v>1</v>
      </c>
    </row>
    <row r="23" spans="1:8" x14ac:dyDescent="0.25">
      <c r="B23" s="146"/>
      <c r="C23" s="35" t="s">
        <v>175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</row>
    <row r="24" spans="1:8" x14ac:dyDescent="0.25">
      <c r="B24" s="146"/>
      <c r="C24" s="35" t="s">
        <v>174</v>
      </c>
      <c r="D24" s="139">
        <v>1</v>
      </c>
      <c r="E24" s="139">
        <v>1</v>
      </c>
      <c r="F24" s="139">
        <v>0.99</v>
      </c>
      <c r="G24" s="139">
        <v>0.99</v>
      </c>
      <c r="H24" s="139">
        <v>1</v>
      </c>
    </row>
    <row r="25" spans="1:8" x14ac:dyDescent="0.25">
      <c r="B25" s="146" t="s">
        <v>2</v>
      </c>
      <c r="C25" s="35" t="s">
        <v>176</v>
      </c>
      <c r="D25" s="139">
        <v>1</v>
      </c>
      <c r="E25" s="139">
        <v>1</v>
      </c>
      <c r="F25" s="139">
        <v>1</v>
      </c>
      <c r="G25" s="139">
        <v>1</v>
      </c>
      <c r="H25" s="139">
        <v>1</v>
      </c>
    </row>
    <row r="26" spans="1:8" x14ac:dyDescent="0.25">
      <c r="B26" s="146"/>
      <c r="C26" s="35" t="s">
        <v>175</v>
      </c>
      <c r="D26" s="139">
        <v>1</v>
      </c>
      <c r="E26" s="139">
        <v>1</v>
      </c>
      <c r="F26" s="139">
        <v>1</v>
      </c>
      <c r="G26" s="139">
        <v>1</v>
      </c>
      <c r="H26" s="139">
        <v>1</v>
      </c>
    </row>
    <row r="27" spans="1:8" x14ac:dyDescent="0.25">
      <c r="B27" s="146"/>
      <c r="C27" s="35" t="s">
        <v>174</v>
      </c>
      <c r="D27" s="139">
        <v>1</v>
      </c>
      <c r="E27" s="139">
        <v>1</v>
      </c>
      <c r="F27" s="139">
        <v>0.99</v>
      </c>
      <c r="G27" s="139">
        <v>0.99</v>
      </c>
      <c r="H27" s="139">
        <v>1</v>
      </c>
    </row>
    <row r="28" spans="1:8" x14ac:dyDescent="0.25">
      <c r="B28" s="146" t="s">
        <v>3</v>
      </c>
      <c r="C28" s="35" t="s">
        <v>176</v>
      </c>
      <c r="D28" s="139">
        <v>1</v>
      </c>
      <c r="E28" s="139">
        <v>1</v>
      </c>
      <c r="F28" s="139">
        <v>0.78</v>
      </c>
      <c r="G28" s="139">
        <v>1</v>
      </c>
      <c r="H28" s="139">
        <v>1</v>
      </c>
    </row>
    <row r="29" spans="1:8" x14ac:dyDescent="0.25">
      <c r="B29" s="146"/>
      <c r="C29" s="35" t="s">
        <v>175</v>
      </c>
      <c r="D29" s="139">
        <v>1</v>
      </c>
      <c r="E29" s="139">
        <v>1</v>
      </c>
      <c r="F29" s="139">
        <v>0.78</v>
      </c>
      <c r="G29" s="139">
        <v>1</v>
      </c>
      <c r="H29" s="139">
        <v>1</v>
      </c>
    </row>
    <row r="30" spans="1:8" x14ac:dyDescent="0.25">
      <c r="B30" s="146"/>
      <c r="C30" s="35" t="s">
        <v>174</v>
      </c>
      <c r="D30" s="139">
        <v>1</v>
      </c>
      <c r="E30" s="139">
        <v>1</v>
      </c>
      <c r="F30" s="139">
        <v>0.99</v>
      </c>
      <c r="G30" s="139">
        <v>0.99</v>
      </c>
      <c r="H30" s="139">
        <v>1</v>
      </c>
    </row>
    <row r="31" spans="1:8" x14ac:dyDescent="0.25">
      <c r="B31" s="146" t="s">
        <v>4</v>
      </c>
      <c r="C31" s="35" t="s">
        <v>176</v>
      </c>
      <c r="D31" s="139">
        <v>1</v>
      </c>
      <c r="E31" s="139">
        <v>1</v>
      </c>
      <c r="F31" s="139">
        <v>1</v>
      </c>
      <c r="G31" s="139">
        <v>0.78</v>
      </c>
      <c r="H31" s="139">
        <v>1</v>
      </c>
    </row>
    <row r="32" spans="1:8" x14ac:dyDescent="0.25">
      <c r="B32" s="146"/>
      <c r="C32" s="35" t="s">
        <v>175</v>
      </c>
      <c r="D32" s="139">
        <v>1</v>
      </c>
      <c r="E32" s="139">
        <v>1</v>
      </c>
      <c r="F32" s="139">
        <v>1</v>
      </c>
      <c r="G32" s="139">
        <v>0.78</v>
      </c>
      <c r="H32" s="139">
        <v>1</v>
      </c>
    </row>
    <row r="33" spans="1:8" x14ac:dyDescent="0.25">
      <c r="B33" s="146"/>
      <c r="C33" s="35" t="s">
        <v>174</v>
      </c>
      <c r="D33" s="139">
        <v>1</v>
      </c>
      <c r="E33" s="139">
        <v>1</v>
      </c>
      <c r="F33" s="139">
        <v>1</v>
      </c>
      <c r="G33" s="139">
        <v>0.99</v>
      </c>
      <c r="H33" s="139">
        <v>1</v>
      </c>
    </row>
    <row r="34" spans="1:8" ht="13" x14ac:dyDescent="0.25">
      <c r="B34" s="101" t="s">
        <v>172</v>
      </c>
      <c r="C34" s="35" t="s">
        <v>174</v>
      </c>
      <c r="D34" s="139">
        <v>1</v>
      </c>
      <c r="E34" s="139">
        <v>1</v>
      </c>
      <c r="F34" s="139">
        <v>0.95</v>
      </c>
      <c r="G34" s="139">
        <v>0.95</v>
      </c>
      <c r="H34" s="139">
        <v>1</v>
      </c>
    </row>
    <row r="35" spans="1:8" x14ac:dyDescent="0.25">
      <c r="D35" s="137"/>
      <c r="E35" s="137"/>
      <c r="F35" s="137"/>
      <c r="G35" s="137"/>
      <c r="H35" s="137"/>
    </row>
    <row r="36" spans="1:8" ht="13" x14ac:dyDescent="0.3">
      <c r="A36" s="102" t="s">
        <v>222</v>
      </c>
      <c r="B36" s="146" t="s">
        <v>32</v>
      </c>
      <c r="C36" s="35" t="s">
        <v>176</v>
      </c>
      <c r="D36" s="139">
        <v>1</v>
      </c>
      <c r="E36" s="139">
        <v>1</v>
      </c>
      <c r="F36" s="139">
        <v>1</v>
      </c>
      <c r="G36" s="139">
        <v>1</v>
      </c>
      <c r="H36" s="139">
        <v>1</v>
      </c>
    </row>
    <row r="37" spans="1:8" x14ac:dyDescent="0.25">
      <c r="B37" s="146"/>
      <c r="C37" s="35" t="s">
        <v>175</v>
      </c>
      <c r="D37" s="139">
        <v>1</v>
      </c>
      <c r="E37" s="139">
        <v>1</v>
      </c>
      <c r="F37" s="139">
        <v>1</v>
      </c>
      <c r="G37" s="139">
        <v>1</v>
      </c>
      <c r="H37" s="139">
        <v>1</v>
      </c>
    </row>
    <row r="38" spans="1:8" x14ac:dyDescent="0.25">
      <c r="B38" s="146"/>
      <c r="C38" s="35" t="s">
        <v>174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</row>
    <row r="39" spans="1:8" x14ac:dyDescent="0.25">
      <c r="B39" s="146" t="s">
        <v>1</v>
      </c>
      <c r="C39" s="35" t="s">
        <v>176</v>
      </c>
      <c r="D39" s="139">
        <v>1</v>
      </c>
      <c r="E39" s="139">
        <v>1</v>
      </c>
      <c r="F39" s="139">
        <v>1</v>
      </c>
      <c r="G39" s="139">
        <v>1</v>
      </c>
      <c r="H39" s="139">
        <v>1</v>
      </c>
    </row>
    <row r="40" spans="1:8" x14ac:dyDescent="0.25">
      <c r="B40" s="146"/>
      <c r="C40" s="35" t="s">
        <v>175</v>
      </c>
      <c r="D40" s="139">
        <v>1</v>
      </c>
      <c r="E40" s="139">
        <v>1</v>
      </c>
      <c r="F40" s="139">
        <v>1</v>
      </c>
      <c r="G40" s="139">
        <v>1</v>
      </c>
      <c r="H40" s="139">
        <v>1</v>
      </c>
    </row>
    <row r="41" spans="1:8" x14ac:dyDescent="0.25">
      <c r="B41" s="146"/>
      <c r="C41" s="35" t="s">
        <v>174</v>
      </c>
      <c r="D41" s="139">
        <v>1</v>
      </c>
      <c r="E41" s="139">
        <v>1</v>
      </c>
      <c r="F41" s="139">
        <v>1</v>
      </c>
      <c r="G41" s="139">
        <v>1</v>
      </c>
      <c r="H41" s="139">
        <v>1</v>
      </c>
    </row>
    <row r="42" spans="1:8" x14ac:dyDescent="0.25">
      <c r="B42" s="146" t="s">
        <v>2</v>
      </c>
      <c r="C42" s="35" t="s">
        <v>176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</row>
    <row r="43" spans="1:8" x14ac:dyDescent="0.25">
      <c r="B43" s="146"/>
      <c r="C43" s="35" t="s">
        <v>175</v>
      </c>
      <c r="D43" s="139">
        <v>1</v>
      </c>
      <c r="E43" s="139">
        <v>1</v>
      </c>
      <c r="F43" s="139">
        <v>1</v>
      </c>
      <c r="G43" s="139">
        <v>1</v>
      </c>
      <c r="H43" s="139">
        <v>1</v>
      </c>
    </row>
    <row r="44" spans="1:8" x14ac:dyDescent="0.25">
      <c r="B44" s="146"/>
      <c r="C44" s="35" t="s">
        <v>174</v>
      </c>
      <c r="D44" s="139">
        <v>1</v>
      </c>
      <c r="E44" s="139">
        <v>1</v>
      </c>
      <c r="F44" s="139">
        <v>1</v>
      </c>
      <c r="G44" s="139">
        <v>1</v>
      </c>
      <c r="H44" s="139">
        <v>1</v>
      </c>
    </row>
    <row r="45" spans="1:8" x14ac:dyDescent="0.25">
      <c r="B45" s="146" t="s">
        <v>3</v>
      </c>
      <c r="C45" s="35" t="s">
        <v>176</v>
      </c>
      <c r="D45" s="139">
        <v>1</v>
      </c>
      <c r="E45" s="139">
        <v>1</v>
      </c>
      <c r="F45" s="139">
        <v>1.82</v>
      </c>
      <c r="G45" s="139">
        <v>1</v>
      </c>
      <c r="H45" s="139">
        <v>1</v>
      </c>
    </row>
    <row r="46" spans="1:8" x14ac:dyDescent="0.25">
      <c r="B46" s="146"/>
      <c r="C46" s="35" t="s">
        <v>175</v>
      </c>
      <c r="D46" s="139">
        <v>1</v>
      </c>
      <c r="E46" s="139">
        <v>1</v>
      </c>
      <c r="F46" s="139">
        <v>1.82</v>
      </c>
      <c r="G46" s="139">
        <v>1</v>
      </c>
      <c r="H46" s="139">
        <v>1</v>
      </c>
    </row>
    <row r="47" spans="1:8" x14ac:dyDescent="0.25">
      <c r="B47" s="146"/>
      <c r="C47" s="35" t="s">
        <v>174</v>
      </c>
      <c r="D47" s="139">
        <v>1</v>
      </c>
      <c r="E47" s="139">
        <v>1</v>
      </c>
      <c r="F47" s="139">
        <v>1</v>
      </c>
      <c r="G47" s="139">
        <v>1</v>
      </c>
      <c r="H47" s="139">
        <v>1</v>
      </c>
    </row>
    <row r="48" spans="1:8" x14ac:dyDescent="0.25">
      <c r="B48" s="146" t="s">
        <v>4</v>
      </c>
      <c r="C48" s="35" t="s">
        <v>176</v>
      </c>
      <c r="D48" s="139">
        <v>1</v>
      </c>
      <c r="E48" s="139">
        <v>1</v>
      </c>
      <c r="F48" s="139">
        <v>1</v>
      </c>
      <c r="G48" s="139">
        <v>1.82</v>
      </c>
      <c r="H48" s="139">
        <v>1</v>
      </c>
    </row>
    <row r="49" spans="2:8" x14ac:dyDescent="0.25">
      <c r="B49" s="146"/>
      <c r="C49" s="35" t="s">
        <v>175</v>
      </c>
      <c r="D49" s="139">
        <v>1</v>
      </c>
      <c r="E49" s="139">
        <v>1</v>
      </c>
      <c r="F49" s="139">
        <v>1</v>
      </c>
      <c r="G49" s="139">
        <v>1.82</v>
      </c>
      <c r="H49" s="139">
        <v>1</v>
      </c>
    </row>
    <row r="50" spans="2:8" x14ac:dyDescent="0.25">
      <c r="B50" s="146"/>
      <c r="C50" s="35" t="s">
        <v>174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</row>
    <row r="51" spans="2:8" ht="13" x14ac:dyDescent="0.25">
      <c r="B51" s="103" t="s">
        <v>172</v>
      </c>
      <c r="C51" s="35" t="s">
        <v>174</v>
      </c>
      <c r="D51" s="139">
        <v>1.05</v>
      </c>
      <c r="E51" s="139">
        <v>1.05</v>
      </c>
      <c r="F51" s="139">
        <v>1.05</v>
      </c>
      <c r="G51" s="139">
        <v>1.05</v>
      </c>
      <c r="H51" s="139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1796875" defaultRowHeight="15.75" customHeight="1" x14ac:dyDescent="0.25"/>
  <cols>
    <col min="1" max="1" width="23.81640625" style="35" customWidth="1"/>
    <col min="2" max="2" width="34.1796875" style="35" customWidth="1"/>
    <col min="3" max="3" width="11.26953125" style="35" bestFit="1" customWidth="1"/>
    <col min="4" max="4" width="11.81640625" style="35" customWidth="1"/>
    <col min="5" max="6" width="15" style="35" customWidth="1"/>
    <col min="7" max="16384" width="16.1796875" style="35"/>
  </cols>
  <sheetData>
    <row r="1" spans="1:7" s="105" customFormat="1" ht="18.75" customHeight="1" x14ac:dyDescent="0.3">
      <c r="A1" s="104" t="s">
        <v>223</v>
      </c>
    </row>
    <row r="2" spans="1:7" ht="15.75" customHeight="1" x14ac:dyDescent="0.3">
      <c r="B2" s="106"/>
      <c r="C2" s="107" t="s">
        <v>26</v>
      </c>
      <c r="D2" s="108" t="s">
        <v>12</v>
      </c>
      <c r="E2" s="108" t="s">
        <v>11</v>
      </c>
      <c r="F2" s="108" t="s">
        <v>9</v>
      </c>
    </row>
    <row r="3" spans="1:7" ht="15.75" customHeight="1" x14ac:dyDescent="0.3">
      <c r="A3" s="40" t="s">
        <v>224</v>
      </c>
      <c r="B3" s="109"/>
      <c r="C3" s="110"/>
      <c r="D3" s="111"/>
      <c r="E3" s="111"/>
      <c r="F3" s="111"/>
    </row>
    <row r="4" spans="1:7" ht="15.75" customHeight="1" x14ac:dyDescent="0.25">
      <c r="B4" s="112" t="s">
        <v>75</v>
      </c>
      <c r="C4" s="140">
        <v>1</v>
      </c>
      <c r="D4" s="141">
        <v>1</v>
      </c>
      <c r="E4" s="141">
        <v>1</v>
      </c>
      <c r="F4" s="141">
        <v>1</v>
      </c>
    </row>
    <row r="5" spans="1:7" ht="15.75" customHeight="1" x14ac:dyDescent="0.25">
      <c r="B5" s="112" t="s">
        <v>76</v>
      </c>
      <c r="C5" s="140">
        <v>1</v>
      </c>
      <c r="D5" s="141">
        <v>1.41</v>
      </c>
      <c r="E5" s="141">
        <v>1.49</v>
      </c>
      <c r="F5" s="141">
        <v>3.03</v>
      </c>
    </row>
    <row r="6" spans="1:7" ht="15.75" customHeight="1" x14ac:dyDescent="0.25">
      <c r="B6" s="112" t="s">
        <v>77</v>
      </c>
      <c r="C6" s="140">
        <v>1</v>
      </c>
      <c r="D6" s="141">
        <v>1.18</v>
      </c>
      <c r="E6" s="141">
        <v>1.1000000000000001</v>
      </c>
      <c r="F6" s="141">
        <v>1.77</v>
      </c>
    </row>
    <row r="7" spans="1:7" ht="15.75" customHeight="1" x14ac:dyDescent="0.25">
      <c r="B7" s="112" t="s">
        <v>78</v>
      </c>
      <c r="C7" s="140">
        <v>1</v>
      </c>
      <c r="D7" s="141">
        <v>1</v>
      </c>
      <c r="E7" s="141">
        <v>1</v>
      </c>
      <c r="F7" s="141">
        <v>1</v>
      </c>
    </row>
    <row r="8" spans="1:7" ht="15.75" customHeight="1" x14ac:dyDescent="0.25">
      <c r="C8" s="113"/>
      <c r="D8" s="100"/>
      <c r="E8" s="100"/>
      <c r="F8" s="100"/>
    </row>
    <row r="9" spans="1:7" ht="15.75" customHeight="1" x14ac:dyDescent="0.3">
      <c r="A9" s="40" t="s">
        <v>225</v>
      </c>
      <c r="C9" s="140">
        <v>1</v>
      </c>
      <c r="D9" s="141">
        <v>1.53</v>
      </c>
      <c r="E9" s="141">
        <v>1.32</v>
      </c>
      <c r="F9" s="141">
        <v>1.53</v>
      </c>
      <c r="G9" s="114"/>
    </row>
    <row r="10" spans="1:7" ht="15.75" customHeight="1" x14ac:dyDescent="0.25">
      <c r="C10" s="113"/>
      <c r="D10" s="100"/>
      <c r="E10" s="100"/>
      <c r="F10" s="100"/>
      <c r="G10" s="114"/>
    </row>
    <row r="11" spans="1:7" s="105" customFormat="1" ht="15" customHeight="1" x14ac:dyDescent="0.3">
      <c r="A11" s="104" t="s">
        <v>226</v>
      </c>
      <c r="C11" s="115"/>
      <c r="D11" s="116"/>
      <c r="E11" s="116"/>
      <c r="F11" s="116"/>
      <c r="G11" s="117"/>
    </row>
    <row r="12" spans="1:7" ht="15.75" customHeight="1" x14ac:dyDescent="0.3">
      <c r="A12" s="40" t="s">
        <v>227</v>
      </c>
      <c r="C12" s="113"/>
      <c r="D12" s="100"/>
      <c r="E12" s="100"/>
      <c r="F12" s="100"/>
      <c r="G12" s="114"/>
    </row>
    <row r="13" spans="1:7" ht="15.75" customHeight="1" x14ac:dyDescent="0.25">
      <c r="B13" s="118" t="s">
        <v>228</v>
      </c>
      <c r="C13" s="140">
        <v>1</v>
      </c>
      <c r="D13" s="141">
        <v>5</v>
      </c>
      <c r="E13" s="141">
        <v>6.4</v>
      </c>
      <c r="F13" s="141">
        <v>46.5</v>
      </c>
      <c r="G13" s="114"/>
    </row>
    <row r="14" spans="1:7" ht="15.75" customHeight="1" x14ac:dyDescent="0.25">
      <c r="B14" s="118" t="s">
        <v>229</v>
      </c>
      <c r="C14" s="140">
        <v>1</v>
      </c>
      <c r="D14" s="141">
        <v>2.52</v>
      </c>
      <c r="E14" s="141">
        <v>1.96</v>
      </c>
      <c r="F14" s="141">
        <v>4.1900000000000004</v>
      </c>
      <c r="G14" s="114"/>
    </row>
    <row r="15" spans="1:7" ht="15.75" customHeight="1" x14ac:dyDescent="0.25">
      <c r="B15" s="118" t="s">
        <v>230</v>
      </c>
      <c r="C15" s="140">
        <v>1</v>
      </c>
      <c r="D15" s="141">
        <v>2.52</v>
      </c>
      <c r="E15" s="141">
        <v>1.96</v>
      </c>
      <c r="F15" s="141">
        <v>4.1900000000000004</v>
      </c>
      <c r="G15" s="114"/>
    </row>
    <row r="16" spans="1:7" ht="15.75" customHeight="1" x14ac:dyDescent="0.3">
      <c r="A16" s="40"/>
      <c r="B16" s="118"/>
      <c r="C16" s="119"/>
      <c r="D16" s="100"/>
      <c r="E16" s="100"/>
      <c r="F16" s="100"/>
      <c r="G16" s="114"/>
    </row>
    <row r="17" spans="1:7" ht="15.75" customHeight="1" x14ac:dyDescent="0.3">
      <c r="A17" s="40" t="s">
        <v>231</v>
      </c>
      <c r="B17" s="109"/>
      <c r="C17" s="120"/>
      <c r="D17" s="121"/>
      <c r="E17" s="121"/>
      <c r="F17" s="121"/>
      <c r="G17" s="114"/>
    </row>
    <row r="18" spans="1:7" ht="15.75" customHeight="1" x14ac:dyDescent="0.25">
      <c r="B18" s="122" t="s">
        <v>73</v>
      </c>
      <c r="C18" s="140">
        <v>1</v>
      </c>
      <c r="D18" s="141">
        <v>1</v>
      </c>
      <c r="E18" s="141">
        <v>1</v>
      </c>
      <c r="F18" s="141">
        <v>1</v>
      </c>
      <c r="G18" s="114"/>
    </row>
    <row r="19" spans="1:7" ht="15.75" customHeight="1" x14ac:dyDescent="0.25">
      <c r="B19" s="122" t="s">
        <v>7</v>
      </c>
      <c r="C19" s="140">
        <v>1</v>
      </c>
      <c r="D19" s="141">
        <v>2.0699999999999998</v>
      </c>
      <c r="E19" s="141">
        <v>8.02</v>
      </c>
      <c r="F19" s="141">
        <v>11.54</v>
      </c>
      <c r="G19" s="114"/>
    </row>
    <row r="20" spans="1:7" ht="15.75" customHeight="1" x14ac:dyDescent="0.25">
      <c r="B20" s="122" t="s">
        <v>8</v>
      </c>
      <c r="C20" s="140">
        <v>1</v>
      </c>
      <c r="D20" s="141">
        <v>2.0699999999999998</v>
      </c>
      <c r="E20" s="141">
        <v>8.02</v>
      </c>
      <c r="F20" s="141">
        <v>11.54</v>
      </c>
      <c r="G20" s="114"/>
    </row>
    <row r="21" spans="1:7" ht="15.75" customHeight="1" x14ac:dyDescent="0.25">
      <c r="B21" s="122" t="s">
        <v>10</v>
      </c>
      <c r="C21" s="140">
        <v>1</v>
      </c>
      <c r="D21" s="141">
        <v>2.0699999999999998</v>
      </c>
      <c r="E21" s="141">
        <v>8.02</v>
      </c>
      <c r="F21" s="141">
        <v>11.54</v>
      </c>
      <c r="G21" s="114"/>
    </row>
    <row r="22" spans="1:7" ht="15.75" customHeight="1" x14ac:dyDescent="0.25">
      <c r="B22" s="122" t="s">
        <v>13</v>
      </c>
      <c r="C22" s="140">
        <v>1</v>
      </c>
      <c r="D22" s="141">
        <v>1</v>
      </c>
      <c r="E22" s="141">
        <v>999.99</v>
      </c>
      <c r="F22" s="141">
        <v>999.99</v>
      </c>
    </row>
    <row r="23" spans="1:7" ht="15.75" customHeight="1" x14ac:dyDescent="0.25">
      <c r="B23" s="122" t="s">
        <v>14</v>
      </c>
      <c r="C23" s="140">
        <v>1</v>
      </c>
      <c r="D23" s="141">
        <v>1</v>
      </c>
      <c r="E23" s="141">
        <v>1</v>
      </c>
      <c r="F23" s="141">
        <v>1</v>
      </c>
    </row>
    <row r="24" spans="1:7" ht="15.75" customHeight="1" x14ac:dyDescent="0.25">
      <c r="B24" s="122" t="s">
        <v>27</v>
      </c>
      <c r="C24" s="140">
        <v>1</v>
      </c>
      <c r="D24" s="141">
        <v>1</v>
      </c>
      <c r="E24" s="141">
        <v>1</v>
      </c>
      <c r="F24" s="141">
        <v>1</v>
      </c>
    </row>
    <row r="25" spans="1:7" ht="15.75" customHeight="1" x14ac:dyDescent="0.25">
      <c r="B25" s="122" t="s">
        <v>15</v>
      </c>
      <c r="C25" s="140">
        <v>1</v>
      </c>
      <c r="D25" s="141">
        <v>1</v>
      </c>
      <c r="E25" s="141">
        <v>1</v>
      </c>
      <c r="F25" s="141">
        <v>1</v>
      </c>
    </row>
    <row r="26" spans="1:7" ht="15.75" customHeight="1" x14ac:dyDescent="0.25">
      <c r="B26" s="118"/>
    </row>
    <row r="28" spans="1:7" ht="15.75" customHeight="1" x14ac:dyDescent="0.3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265625" defaultRowHeight="12.5" x14ac:dyDescent="0.25"/>
  <cols>
    <col min="1" max="1" width="27.26953125" style="35" customWidth="1"/>
    <col min="2" max="2" width="26.81640625" style="35" customWidth="1"/>
    <col min="3" max="3" width="18.26953125" style="35" customWidth="1"/>
    <col min="4" max="8" width="14.7265625" style="35" customWidth="1"/>
    <col min="9" max="12" width="15.26953125" style="35" bestFit="1" customWidth="1"/>
    <col min="13" max="16" width="16.81640625" style="35" bestFit="1" customWidth="1"/>
    <col min="17" max="16384" width="12.7265625" style="35"/>
  </cols>
  <sheetData>
    <row r="1" spans="1:16" s="105" customFormat="1" ht="13" x14ac:dyDescent="0.3">
      <c r="A1" s="104" t="s">
        <v>232</v>
      </c>
    </row>
    <row r="2" spans="1:16" ht="13" x14ac:dyDescent="0.3">
      <c r="A2" s="123" t="s">
        <v>213</v>
      </c>
      <c r="B2" s="124" t="s">
        <v>233</v>
      </c>
      <c r="C2" s="124" t="s">
        <v>234</v>
      </c>
      <c r="D2" s="108" t="s">
        <v>1</v>
      </c>
      <c r="E2" s="108" t="s">
        <v>2</v>
      </c>
      <c r="F2" s="108" t="s">
        <v>3</v>
      </c>
      <c r="G2" s="108" t="s">
        <v>4</v>
      </c>
      <c r="H2" s="108" t="s">
        <v>5</v>
      </c>
      <c r="I2" s="125"/>
      <c r="J2" s="125"/>
      <c r="K2" s="125"/>
      <c r="L2" s="125"/>
      <c r="M2" s="125"/>
      <c r="N2" s="125"/>
      <c r="O2" s="125"/>
      <c r="P2" s="125"/>
    </row>
    <row r="3" spans="1:16" ht="13" x14ac:dyDescent="0.3">
      <c r="A3" s="40"/>
      <c r="B3" s="35" t="s">
        <v>71</v>
      </c>
      <c r="C3" s="43" t="s">
        <v>235</v>
      </c>
      <c r="D3" s="140">
        <v>1</v>
      </c>
      <c r="E3" s="140">
        <v>1</v>
      </c>
      <c r="F3" s="140">
        <v>1</v>
      </c>
      <c r="G3" s="140">
        <v>1</v>
      </c>
      <c r="H3" s="140">
        <v>1</v>
      </c>
      <c r="I3" s="123"/>
      <c r="J3" s="123"/>
      <c r="K3" s="123"/>
      <c r="L3" s="123"/>
      <c r="M3" s="123"/>
      <c r="N3" s="123"/>
      <c r="O3" s="123"/>
      <c r="P3" s="123"/>
    </row>
    <row r="4" spans="1:16" x14ac:dyDescent="0.25">
      <c r="C4" s="43" t="s">
        <v>236</v>
      </c>
      <c r="D4" s="141">
        <v>1</v>
      </c>
      <c r="E4" s="141">
        <v>1.67</v>
      </c>
      <c r="F4" s="141">
        <v>1.67</v>
      </c>
      <c r="G4" s="141">
        <v>1.67</v>
      </c>
      <c r="H4" s="141">
        <v>1.67</v>
      </c>
      <c r="I4" s="123"/>
      <c r="J4" s="123"/>
      <c r="K4" s="123"/>
      <c r="L4" s="123"/>
      <c r="M4" s="123"/>
      <c r="N4" s="123"/>
      <c r="O4" s="123"/>
      <c r="P4" s="123"/>
    </row>
    <row r="5" spans="1:16" x14ac:dyDescent="0.25">
      <c r="C5" s="43" t="s">
        <v>237</v>
      </c>
      <c r="D5" s="141">
        <v>1</v>
      </c>
      <c r="E5" s="141">
        <v>2.38</v>
      </c>
      <c r="F5" s="141">
        <v>2.38</v>
      </c>
      <c r="G5" s="141">
        <v>2.38</v>
      </c>
      <c r="H5" s="141">
        <v>2.38</v>
      </c>
      <c r="I5" s="123"/>
      <c r="J5" s="123"/>
      <c r="K5" s="123"/>
      <c r="L5" s="123"/>
      <c r="M5" s="123"/>
      <c r="N5" s="123"/>
      <c r="O5" s="123"/>
      <c r="P5" s="123"/>
    </row>
    <row r="6" spans="1:16" x14ac:dyDescent="0.25">
      <c r="C6" s="43" t="s">
        <v>238</v>
      </c>
      <c r="D6" s="141">
        <v>1</v>
      </c>
      <c r="E6" s="141">
        <v>6.33</v>
      </c>
      <c r="F6" s="141">
        <v>6.33</v>
      </c>
      <c r="G6" s="141">
        <v>6.33</v>
      </c>
      <c r="H6" s="141">
        <v>6.33</v>
      </c>
      <c r="I6" s="123"/>
      <c r="J6" s="123"/>
      <c r="K6" s="123"/>
      <c r="L6" s="123"/>
      <c r="M6" s="123"/>
      <c r="N6" s="123"/>
      <c r="O6" s="123"/>
      <c r="P6" s="123"/>
    </row>
    <row r="7" spans="1:16" x14ac:dyDescent="0.25">
      <c r="B7" s="35" t="s">
        <v>16</v>
      </c>
      <c r="C7" s="43" t="s">
        <v>235</v>
      </c>
      <c r="D7" s="140">
        <v>1</v>
      </c>
      <c r="E7" s="140">
        <v>1</v>
      </c>
      <c r="F7" s="140">
        <v>1</v>
      </c>
      <c r="G7" s="140">
        <v>1</v>
      </c>
      <c r="H7" s="140">
        <v>1</v>
      </c>
      <c r="I7" s="123"/>
      <c r="J7" s="123"/>
      <c r="K7" s="123"/>
      <c r="L7" s="123"/>
      <c r="M7" s="123"/>
      <c r="N7" s="123"/>
      <c r="O7" s="123"/>
      <c r="P7" s="123"/>
    </row>
    <row r="8" spans="1:16" x14ac:dyDescent="0.25">
      <c r="C8" s="43" t="s">
        <v>236</v>
      </c>
      <c r="D8" s="141">
        <v>1</v>
      </c>
      <c r="E8" s="141">
        <v>1.55</v>
      </c>
      <c r="F8" s="141">
        <v>1.55</v>
      </c>
      <c r="G8" s="141">
        <v>1.55</v>
      </c>
      <c r="H8" s="141">
        <v>1.55</v>
      </c>
      <c r="I8" s="123"/>
      <c r="J8" s="123"/>
      <c r="K8" s="123"/>
      <c r="L8" s="123"/>
      <c r="M8" s="123"/>
      <c r="N8" s="123"/>
      <c r="O8" s="123"/>
      <c r="P8" s="123"/>
    </row>
    <row r="9" spans="1:16" x14ac:dyDescent="0.25">
      <c r="C9" s="43" t="s">
        <v>237</v>
      </c>
      <c r="D9" s="141">
        <v>1</v>
      </c>
      <c r="E9" s="141">
        <v>2.1800000000000002</v>
      </c>
      <c r="F9" s="141">
        <v>2.1800000000000002</v>
      </c>
      <c r="G9" s="141">
        <v>2.1800000000000002</v>
      </c>
      <c r="H9" s="141">
        <v>2.1800000000000002</v>
      </c>
      <c r="I9" s="123"/>
      <c r="J9" s="123"/>
      <c r="K9" s="123"/>
      <c r="L9" s="123"/>
      <c r="M9" s="123"/>
      <c r="N9" s="123"/>
      <c r="O9" s="123"/>
      <c r="P9" s="123"/>
    </row>
    <row r="10" spans="1:16" x14ac:dyDescent="0.25">
      <c r="C10" s="43" t="s">
        <v>238</v>
      </c>
      <c r="D10" s="141">
        <v>1</v>
      </c>
      <c r="E10" s="141">
        <v>6.39</v>
      </c>
      <c r="F10" s="141">
        <v>6.39</v>
      </c>
      <c r="G10" s="141">
        <v>6.39</v>
      </c>
      <c r="H10" s="141">
        <v>6.39</v>
      </c>
      <c r="I10" s="123"/>
      <c r="J10" s="123"/>
      <c r="K10" s="123"/>
      <c r="L10" s="123"/>
      <c r="M10" s="123"/>
      <c r="N10" s="123"/>
      <c r="O10" s="123"/>
      <c r="P10" s="123"/>
    </row>
    <row r="11" spans="1:16" x14ac:dyDescent="0.25">
      <c r="B11" s="35" t="s">
        <v>18</v>
      </c>
      <c r="C11" s="43" t="s">
        <v>235</v>
      </c>
      <c r="D11" s="140">
        <v>1</v>
      </c>
      <c r="E11" s="140">
        <v>1</v>
      </c>
      <c r="F11" s="140">
        <v>1</v>
      </c>
      <c r="G11" s="140">
        <v>1</v>
      </c>
      <c r="H11" s="140">
        <v>1</v>
      </c>
      <c r="I11" s="123"/>
      <c r="J11" s="123"/>
      <c r="K11" s="123"/>
      <c r="L11" s="123"/>
      <c r="M11" s="123"/>
      <c r="N11" s="123"/>
      <c r="O11" s="123"/>
      <c r="P11" s="123"/>
    </row>
    <row r="12" spans="1:16" x14ac:dyDescent="0.25">
      <c r="C12" s="43" t="s">
        <v>236</v>
      </c>
      <c r="D12" s="141">
        <v>1</v>
      </c>
      <c r="E12" s="141">
        <v>1</v>
      </c>
      <c r="F12" s="141">
        <v>1</v>
      </c>
      <c r="G12" s="141">
        <v>1</v>
      </c>
      <c r="H12" s="141">
        <v>1</v>
      </c>
      <c r="I12" s="123"/>
      <c r="J12" s="123"/>
      <c r="K12" s="123"/>
      <c r="L12" s="123"/>
      <c r="M12" s="123"/>
      <c r="N12" s="123"/>
      <c r="O12" s="123"/>
      <c r="P12" s="123"/>
    </row>
    <row r="13" spans="1:16" x14ac:dyDescent="0.25">
      <c r="C13" s="43" t="s">
        <v>237</v>
      </c>
      <c r="D13" s="141">
        <v>1</v>
      </c>
      <c r="E13" s="141">
        <v>2.79</v>
      </c>
      <c r="F13" s="141">
        <v>2.79</v>
      </c>
      <c r="G13" s="141">
        <v>2.79</v>
      </c>
      <c r="H13" s="141">
        <v>2.79</v>
      </c>
      <c r="I13" s="123"/>
      <c r="J13" s="123"/>
      <c r="K13" s="123"/>
      <c r="L13" s="123"/>
      <c r="M13" s="123"/>
      <c r="N13" s="123"/>
      <c r="O13" s="123"/>
      <c r="P13" s="123"/>
    </row>
    <row r="14" spans="1:16" x14ac:dyDescent="0.25">
      <c r="C14" s="43" t="s">
        <v>238</v>
      </c>
      <c r="D14" s="141">
        <v>1</v>
      </c>
      <c r="E14" s="141">
        <v>6.01</v>
      </c>
      <c r="F14" s="141">
        <v>6.01</v>
      </c>
      <c r="G14" s="141">
        <v>6.01</v>
      </c>
      <c r="H14" s="141">
        <v>6.01</v>
      </c>
      <c r="I14" s="123"/>
      <c r="J14" s="123"/>
      <c r="K14" s="123"/>
      <c r="L14" s="123"/>
      <c r="M14" s="123"/>
      <c r="N14" s="123"/>
      <c r="O14" s="123"/>
      <c r="P14" s="123"/>
    </row>
    <row r="15" spans="1:16" x14ac:dyDescent="0.25">
      <c r="B15" s="35" t="s">
        <v>19</v>
      </c>
      <c r="C15" s="43" t="s">
        <v>235</v>
      </c>
      <c r="D15" s="140">
        <v>1</v>
      </c>
      <c r="E15" s="140">
        <v>1</v>
      </c>
      <c r="F15" s="140">
        <v>1</v>
      </c>
      <c r="G15" s="140">
        <v>1</v>
      </c>
      <c r="H15" s="140">
        <v>1</v>
      </c>
      <c r="I15" s="123"/>
      <c r="J15" s="123"/>
      <c r="K15" s="123"/>
      <c r="L15" s="123"/>
      <c r="M15" s="123"/>
      <c r="N15" s="123"/>
      <c r="O15" s="123"/>
      <c r="P15" s="123"/>
    </row>
    <row r="16" spans="1:16" x14ac:dyDescent="0.25">
      <c r="C16" s="43" t="s">
        <v>236</v>
      </c>
      <c r="D16" s="141">
        <v>1</v>
      </c>
      <c r="E16" s="141">
        <v>1</v>
      </c>
      <c r="F16" s="141">
        <v>1</v>
      </c>
      <c r="G16" s="141">
        <v>1</v>
      </c>
      <c r="H16" s="141">
        <v>1</v>
      </c>
      <c r="I16" s="123"/>
      <c r="J16" s="123"/>
      <c r="K16" s="123"/>
      <c r="L16" s="123"/>
      <c r="M16" s="123"/>
      <c r="N16" s="123"/>
      <c r="O16" s="123"/>
      <c r="P16" s="123"/>
    </row>
    <row r="17" spans="1:16" x14ac:dyDescent="0.25">
      <c r="C17" s="43" t="s">
        <v>237</v>
      </c>
      <c r="D17" s="141">
        <v>1</v>
      </c>
      <c r="E17" s="141">
        <v>1</v>
      </c>
      <c r="F17" s="141">
        <v>1</v>
      </c>
      <c r="G17" s="141">
        <v>1</v>
      </c>
      <c r="H17" s="141">
        <v>1</v>
      </c>
      <c r="I17" s="123"/>
      <c r="J17" s="123"/>
      <c r="K17" s="123"/>
      <c r="L17" s="123"/>
      <c r="M17" s="123"/>
      <c r="N17" s="123"/>
      <c r="O17" s="123"/>
      <c r="P17" s="123"/>
    </row>
    <row r="18" spans="1:16" ht="13.9" customHeight="1" x14ac:dyDescent="0.25">
      <c r="C18" s="43" t="s">
        <v>238</v>
      </c>
      <c r="D18" s="141">
        <v>1</v>
      </c>
      <c r="E18" s="141">
        <v>1</v>
      </c>
      <c r="F18" s="141">
        <v>1</v>
      </c>
      <c r="G18" s="141">
        <v>1</v>
      </c>
      <c r="H18" s="141">
        <v>1</v>
      </c>
      <c r="I18" s="123"/>
      <c r="J18" s="123"/>
      <c r="K18" s="123"/>
      <c r="L18" s="123"/>
      <c r="M18" s="123"/>
      <c r="N18" s="123"/>
      <c r="O18" s="123"/>
      <c r="P18" s="123"/>
    </row>
    <row r="19" spans="1:16" x14ac:dyDescent="0.25">
      <c r="B19" s="36" t="s">
        <v>17</v>
      </c>
      <c r="C19" s="43" t="s">
        <v>235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23"/>
      <c r="J19" s="123"/>
      <c r="K19" s="123"/>
      <c r="L19" s="123"/>
      <c r="M19" s="123"/>
      <c r="N19" s="123"/>
      <c r="O19" s="123"/>
      <c r="P19" s="123"/>
    </row>
    <row r="20" spans="1:16" x14ac:dyDescent="0.25">
      <c r="C20" s="43" t="s">
        <v>236</v>
      </c>
      <c r="D20" s="141">
        <v>1</v>
      </c>
      <c r="E20" s="141">
        <v>1</v>
      </c>
      <c r="F20" s="141">
        <v>1</v>
      </c>
      <c r="G20" s="141">
        <v>1</v>
      </c>
      <c r="H20" s="141">
        <v>1</v>
      </c>
      <c r="I20" s="123"/>
      <c r="J20" s="123"/>
      <c r="K20" s="123"/>
      <c r="L20" s="123"/>
      <c r="M20" s="123"/>
      <c r="N20" s="123"/>
      <c r="O20" s="123"/>
      <c r="P20" s="123"/>
    </row>
    <row r="21" spans="1:16" x14ac:dyDescent="0.25">
      <c r="C21" s="43" t="s">
        <v>237</v>
      </c>
      <c r="D21" s="141">
        <v>1</v>
      </c>
      <c r="E21" s="141">
        <v>1.86</v>
      </c>
      <c r="F21" s="141">
        <v>1.86</v>
      </c>
      <c r="G21" s="141">
        <v>1.86</v>
      </c>
      <c r="H21" s="141">
        <v>1.86</v>
      </c>
      <c r="I21" s="123"/>
      <c r="J21" s="123"/>
      <c r="K21" s="123"/>
      <c r="L21" s="123"/>
      <c r="M21" s="123"/>
      <c r="N21" s="123"/>
      <c r="O21" s="123"/>
      <c r="P21" s="123"/>
    </row>
    <row r="22" spans="1:16" x14ac:dyDescent="0.25">
      <c r="C22" s="43" t="s">
        <v>238</v>
      </c>
      <c r="D22" s="141">
        <v>1</v>
      </c>
      <c r="E22" s="141">
        <v>3.01</v>
      </c>
      <c r="F22" s="141">
        <v>3.01</v>
      </c>
      <c r="G22" s="141">
        <v>3.01</v>
      </c>
      <c r="H22" s="141">
        <v>3.01</v>
      </c>
      <c r="I22" s="123"/>
      <c r="J22" s="123"/>
      <c r="K22" s="123"/>
      <c r="L22" s="123"/>
      <c r="M22" s="123"/>
      <c r="N22" s="123"/>
      <c r="O22" s="123"/>
      <c r="P22" s="123"/>
    </row>
    <row r="23" spans="1:16" x14ac:dyDescent="0.25">
      <c r="B23" s="36" t="s">
        <v>23</v>
      </c>
      <c r="C23" s="43" t="s">
        <v>235</v>
      </c>
      <c r="D23" s="140">
        <v>1</v>
      </c>
      <c r="E23" s="140">
        <v>1</v>
      </c>
      <c r="F23" s="140">
        <v>1</v>
      </c>
      <c r="G23" s="140">
        <v>1</v>
      </c>
      <c r="H23" s="140">
        <v>1</v>
      </c>
      <c r="I23" s="123"/>
      <c r="J23" s="123"/>
      <c r="K23" s="123"/>
      <c r="L23" s="123"/>
      <c r="M23" s="123"/>
      <c r="N23" s="123"/>
      <c r="O23" s="123"/>
      <c r="P23" s="123"/>
    </row>
    <row r="24" spans="1:16" x14ac:dyDescent="0.25">
      <c r="C24" s="43" t="s">
        <v>236</v>
      </c>
      <c r="D24" s="141">
        <v>1</v>
      </c>
      <c r="E24" s="141">
        <v>1</v>
      </c>
      <c r="F24" s="141">
        <v>1</v>
      </c>
      <c r="G24" s="141">
        <v>1</v>
      </c>
      <c r="H24" s="141">
        <v>1</v>
      </c>
      <c r="I24" s="123"/>
      <c r="J24" s="123"/>
      <c r="K24" s="123"/>
      <c r="L24" s="123"/>
      <c r="M24" s="123"/>
      <c r="N24" s="123"/>
      <c r="O24" s="123"/>
      <c r="P24" s="123"/>
    </row>
    <row r="25" spans="1:16" x14ac:dyDescent="0.25">
      <c r="C25" s="43" t="s">
        <v>237</v>
      </c>
      <c r="D25" s="141">
        <v>1</v>
      </c>
      <c r="E25" s="141">
        <v>1.86</v>
      </c>
      <c r="F25" s="141">
        <v>1.86</v>
      </c>
      <c r="G25" s="141">
        <v>1.86</v>
      </c>
      <c r="H25" s="141">
        <v>1.86</v>
      </c>
      <c r="I25" s="123"/>
      <c r="J25" s="123"/>
      <c r="K25" s="123"/>
      <c r="L25" s="123"/>
      <c r="M25" s="123"/>
      <c r="N25" s="123"/>
      <c r="O25" s="123"/>
      <c r="P25" s="123"/>
    </row>
    <row r="26" spans="1:16" x14ac:dyDescent="0.25">
      <c r="C26" s="43" t="s">
        <v>238</v>
      </c>
      <c r="D26" s="141">
        <v>1</v>
      </c>
      <c r="E26" s="141">
        <v>3.01</v>
      </c>
      <c r="F26" s="141">
        <v>3.01</v>
      </c>
      <c r="G26" s="141">
        <v>3.01</v>
      </c>
      <c r="H26" s="141">
        <v>3.01</v>
      </c>
      <c r="I26" s="123"/>
      <c r="J26" s="123"/>
      <c r="K26" s="123"/>
      <c r="L26" s="123"/>
      <c r="M26" s="123"/>
      <c r="N26" s="123"/>
      <c r="O26" s="123"/>
      <c r="P26" s="123"/>
    </row>
    <row r="28" spans="1:16" s="105" customFormat="1" ht="13" x14ac:dyDescent="0.3">
      <c r="A28" s="104" t="s">
        <v>239</v>
      </c>
    </row>
    <row r="29" spans="1:16" s="36" customFormat="1" ht="13" x14ac:dyDescent="0.3">
      <c r="A29" s="126" t="s">
        <v>240</v>
      </c>
      <c r="B29" s="99" t="s">
        <v>233</v>
      </c>
      <c r="C29" s="99" t="s">
        <v>241</v>
      </c>
      <c r="D29" s="108" t="s">
        <v>1</v>
      </c>
      <c r="E29" s="108" t="s">
        <v>2</v>
      </c>
      <c r="F29" s="108" t="s">
        <v>3</v>
      </c>
      <c r="G29" s="108" t="s">
        <v>4</v>
      </c>
      <c r="H29" s="108" t="s">
        <v>5</v>
      </c>
      <c r="I29" s="125"/>
      <c r="J29" s="125"/>
      <c r="K29" s="125"/>
      <c r="L29" s="125"/>
      <c r="M29" s="125"/>
      <c r="N29" s="125"/>
      <c r="O29" s="125"/>
      <c r="P29" s="125"/>
    </row>
    <row r="30" spans="1:16" ht="13" x14ac:dyDescent="0.3">
      <c r="A30" s="40"/>
      <c r="B30" s="35" t="s">
        <v>71</v>
      </c>
      <c r="C30" s="43" t="s">
        <v>235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  <c r="I30" s="127"/>
      <c r="J30" s="123"/>
      <c r="K30" s="123"/>
      <c r="L30" s="123"/>
      <c r="M30" s="123"/>
      <c r="N30" s="123"/>
      <c r="O30" s="123"/>
      <c r="P30" s="123"/>
    </row>
    <row r="31" spans="1:16" x14ac:dyDescent="0.25">
      <c r="C31" s="43" t="s">
        <v>236</v>
      </c>
      <c r="D31" s="141">
        <v>1</v>
      </c>
      <c r="E31" s="141">
        <v>1.6</v>
      </c>
      <c r="F31" s="141">
        <v>1.6</v>
      </c>
      <c r="G31" s="141">
        <v>1.6</v>
      </c>
      <c r="H31" s="141">
        <v>1.6</v>
      </c>
      <c r="I31" s="123"/>
      <c r="J31" s="123"/>
      <c r="K31" s="123"/>
      <c r="L31" s="123"/>
      <c r="M31" s="123"/>
      <c r="N31" s="123"/>
      <c r="O31" s="123"/>
      <c r="P31" s="123"/>
    </row>
    <row r="32" spans="1:16" x14ac:dyDescent="0.25">
      <c r="C32" s="43" t="s">
        <v>65</v>
      </c>
      <c r="D32" s="141">
        <v>1</v>
      </c>
      <c r="E32" s="141">
        <v>3.41</v>
      </c>
      <c r="F32" s="141">
        <v>3.41</v>
      </c>
      <c r="G32" s="141">
        <v>3.41</v>
      </c>
      <c r="H32" s="141">
        <v>3.41</v>
      </c>
      <c r="I32" s="123"/>
      <c r="J32" s="123"/>
      <c r="K32" s="123"/>
      <c r="L32" s="123"/>
      <c r="M32" s="123"/>
      <c r="N32" s="123"/>
      <c r="O32" s="123"/>
      <c r="P32" s="123"/>
    </row>
    <row r="33" spans="2:16" x14ac:dyDescent="0.25">
      <c r="C33" s="43" t="s">
        <v>66</v>
      </c>
      <c r="D33" s="141">
        <v>1</v>
      </c>
      <c r="E33" s="141">
        <v>12.33</v>
      </c>
      <c r="F33" s="141">
        <v>12.33</v>
      </c>
      <c r="G33" s="141">
        <v>12.33</v>
      </c>
      <c r="H33" s="141">
        <v>12.33</v>
      </c>
      <c r="I33" s="123"/>
      <c r="J33" s="123"/>
      <c r="K33" s="123"/>
      <c r="L33" s="123"/>
      <c r="M33" s="123"/>
      <c r="N33" s="123"/>
      <c r="O33" s="123"/>
      <c r="P33" s="123"/>
    </row>
    <row r="34" spans="2:16" x14ac:dyDescent="0.25">
      <c r="B34" s="35" t="s">
        <v>16</v>
      </c>
      <c r="C34" s="43" t="s">
        <v>235</v>
      </c>
      <c r="D34" s="140">
        <v>1</v>
      </c>
      <c r="E34" s="140">
        <v>1</v>
      </c>
      <c r="F34" s="140">
        <v>1</v>
      </c>
      <c r="G34" s="140">
        <v>1</v>
      </c>
      <c r="H34" s="140">
        <v>1</v>
      </c>
      <c r="I34" s="123"/>
      <c r="J34" s="123"/>
      <c r="K34" s="123"/>
      <c r="L34" s="123"/>
      <c r="M34" s="123"/>
      <c r="N34" s="123"/>
      <c r="O34" s="123"/>
      <c r="P34" s="123"/>
    </row>
    <row r="35" spans="2:16" x14ac:dyDescent="0.25">
      <c r="C35" s="43" t="s">
        <v>236</v>
      </c>
      <c r="D35" s="141">
        <v>1</v>
      </c>
      <c r="E35" s="141">
        <v>1.92</v>
      </c>
      <c r="F35" s="141">
        <v>1.92</v>
      </c>
      <c r="G35" s="141">
        <v>1.92</v>
      </c>
      <c r="H35" s="141">
        <v>1.92</v>
      </c>
      <c r="I35" s="123"/>
      <c r="J35" s="123"/>
      <c r="K35" s="123"/>
      <c r="L35" s="123"/>
      <c r="M35" s="123"/>
      <c r="N35" s="123"/>
      <c r="O35" s="123"/>
      <c r="P35" s="123"/>
    </row>
    <row r="36" spans="2:16" x14ac:dyDescent="0.25">
      <c r="C36" s="43" t="s">
        <v>65</v>
      </c>
      <c r="D36" s="141">
        <v>1</v>
      </c>
      <c r="E36" s="141">
        <v>4.66</v>
      </c>
      <c r="F36" s="141">
        <v>4.66</v>
      </c>
      <c r="G36" s="141">
        <v>4.66</v>
      </c>
      <c r="H36" s="141">
        <v>4.66</v>
      </c>
      <c r="I36" s="123"/>
      <c r="J36" s="123"/>
      <c r="K36" s="123"/>
      <c r="L36" s="123"/>
      <c r="M36" s="123"/>
      <c r="N36" s="123"/>
      <c r="O36" s="123"/>
      <c r="P36" s="123"/>
    </row>
    <row r="37" spans="2:16" x14ac:dyDescent="0.25">
      <c r="C37" s="43" t="s">
        <v>66</v>
      </c>
      <c r="D37" s="141">
        <v>1</v>
      </c>
      <c r="E37" s="141">
        <v>9.68</v>
      </c>
      <c r="F37" s="141">
        <v>9.68</v>
      </c>
      <c r="G37" s="141">
        <v>9.68</v>
      </c>
      <c r="H37" s="141">
        <v>9.68</v>
      </c>
      <c r="I37" s="123"/>
      <c r="J37" s="123"/>
      <c r="K37" s="123"/>
      <c r="L37" s="123"/>
      <c r="M37" s="123"/>
      <c r="N37" s="123"/>
      <c r="O37" s="123"/>
      <c r="P37" s="123"/>
    </row>
    <row r="38" spans="2:16" x14ac:dyDescent="0.25">
      <c r="B38" s="35" t="s">
        <v>18</v>
      </c>
      <c r="C38" s="43" t="s">
        <v>235</v>
      </c>
      <c r="D38" s="140">
        <v>1</v>
      </c>
      <c r="E38" s="140">
        <v>1</v>
      </c>
      <c r="F38" s="140">
        <v>1</v>
      </c>
      <c r="G38" s="140">
        <v>1</v>
      </c>
      <c r="H38" s="140">
        <v>1</v>
      </c>
      <c r="I38" s="123"/>
      <c r="J38" s="123"/>
      <c r="K38" s="123"/>
      <c r="L38" s="123"/>
      <c r="M38" s="123"/>
      <c r="N38" s="123"/>
      <c r="O38" s="123"/>
      <c r="P38" s="123"/>
    </row>
    <row r="39" spans="2:16" x14ac:dyDescent="0.25">
      <c r="C39" s="43" t="s">
        <v>236</v>
      </c>
      <c r="D39" s="141">
        <v>1</v>
      </c>
      <c r="E39" s="141">
        <v>1</v>
      </c>
      <c r="F39" s="141">
        <v>1</v>
      </c>
      <c r="G39" s="141">
        <v>1</v>
      </c>
      <c r="H39" s="141">
        <v>1</v>
      </c>
      <c r="I39" s="123"/>
      <c r="J39" s="123"/>
      <c r="K39" s="123"/>
      <c r="L39" s="123"/>
      <c r="M39" s="123"/>
      <c r="N39" s="123"/>
      <c r="O39" s="123"/>
      <c r="P39" s="123"/>
    </row>
    <row r="40" spans="2:16" x14ac:dyDescent="0.25">
      <c r="C40" s="43" t="s">
        <v>65</v>
      </c>
      <c r="D40" s="141">
        <v>1</v>
      </c>
      <c r="E40" s="141">
        <v>2.58</v>
      </c>
      <c r="F40" s="141">
        <v>2.58</v>
      </c>
      <c r="G40" s="141">
        <v>2.58</v>
      </c>
      <c r="H40" s="141">
        <v>2.58</v>
      </c>
      <c r="I40" s="123"/>
      <c r="J40" s="123"/>
      <c r="K40" s="123"/>
      <c r="L40" s="123"/>
      <c r="M40" s="123"/>
      <c r="N40" s="123"/>
      <c r="O40" s="123"/>
      <c r="P40" s="123"/>
    </row>
    <row r="41" spans="2:16" x14ac:dyDescent="0.25">
      <c r="C41" s="43" t="s">
        <v>66</v>
      </c>
      <c r="D41" s="141">
        <v>1</v>
      </c>
      <c r="E41" s="141">
        <v>9.6300000000000008</v>
      </c>
      <c r="F41" s="141">
        <v>9.6300000000000008</v>
      </c>
      <c r="G41" s="141">
        <v>9.6300000000000008</v>
      </c>
      <c r="H41" s="141">
        <v>9.6300000000000008</v>
      </c>
      <c r="I41" s="123"/>
      <c r="J41" s="123"/>
      <c r="K41" s="123"/>
      <c r="L41" s="123"/>
      <c r="M41" s="123"/>
      <c r="N41" s="123"/>
      <c r="O41" s="123"/>
      <c r="P41" s="123"/>
    </row>
    <row r="42" spans="2:16" x14ac:dyDescent="0.25">
      <c r="B42" s="35" t="s">
        <v>19</v>
      </c>
      <c r="C42" s="43" t="s">
        <v>235</v>
      </c>
      <c r="D42" s="140">
        <v>1</v>
      </c>
      <c r="E42" s="140">
        <v>1</v>
      </c>
      <c r="F42" s="140">
        <v>1</v>
      </c>
      <c r="G42" s="140">
        <v>1</v>
      </c>
      <c r="H42" s="140">
        <v>1</v>
      </c>
      <c r="I42" s="123"/>
      <c r="J42" s="123"/>
      <c r="K42" s="123"/>
      <c r="L42" s="123"/>
      <c r="M42" s="123"/>
      <c r="N42" s="123"/>
      <c r="O42" s="123"/>
      <c r="P42" s="123"/>
    </row>
    <row r="43" spans="2:16" x14ac:dyDescent="0.25">
      <c r="C43" s="43" t="s">
        <v>236</v>
      </c>
      <c r="D43" s="141">
        <v>1</v>
      </c>
      <c r="E43" s="141">
        <v>1</v>
      </c>
      <c r="F43" s="141">
        <v>1</v>
      </c>
      <c r="G43" s="141">
        <v>1</v>
      </c>
      <c r="H43" s="141">
        <v>1</v>
      </c>
      <c r="I43" s="123"/>
      <c r="J43" s="123"/>
      <c r="K43" s="123"/>
      <c r="L43" s="123"/>
      <c r="M43" s="123"/>
      <c r="N43" s="123"/>
      <c r="O43" s="123"/>
      <c r="P43" s="123"/>
    </row>
    <row r="44" spans="2:16" x14ac:dyDescent="0.25">
      <c r="C44" s="43" t="s">
        <v>65</v>
      </c>
      <c r="D44" s="141">
        <v>1</v>
      </c>
      <c r="E44" s="141">
        <v>1</v>
      </c>
      <c r="F44" s="141">
        <v>1</v>
      </c>
      <c r="G44" s="141">
        <v>1</v>
      </c>
      <c r="H44" s="141">
        <v>1</v>
      </c>
      <c r="I44" s="123"/>
      <c r="J44" s="123"/>
      <c r="K44" s="123"/>
      <c r="L44" s="123"/>
      <c r="M44" s="123"/>
      <c r="N44" s="123"/>
      <c r="O44" s="123"/>
      <c r="P44" s="123"/>
    </row>
    <row r="45" spans="2:16" x14ac:dyDescent="0.25">
      <c r="C45" s="43" t="s">
        <v>66</v>
      </c>
      <c r="D45" s="141">
        <v>1</v>
      </c>
      <c r="E45" s="141">
        <v>1</v>
      </c>
      <c r="F45" s="141">
        <v>1</v>
      </c>
      <c r="G45" s="141">
        <v>1</v>
      </c>
      <c r="H45" s="141">
        <v>1</v>
      </c>
      <c r="I45" s="123"/>
      <c r="J45" s="123"/>
      <c r="K45" s="123"/>
      <c r="L45" s="123"/>
      <c r="M45" s="123"/>
      <c r="N45" s="123"/>
      <c r="O45" s="123"/>
      <c r="P45" s="123"/>
    </row>
    <row r="46" spans="2:16" x14ac:dyDescent="0.25">
      <c r="B46" s="35" t="s">
        <v>17</v>
      </c>
      <c r="C46" s="43" t="s">
        <v>235</v>
      </c>
      <c r="D46" s="140">
        <v>1</v>
      </c>
      <c r="E46" s="140">
        <v>1</v>
      </c>
      <c r="F46" s="140">
        <v>1</v>
      </c>
      <c r="G46" s="140">
        <v>1</v>
      </c>
      <c r="H46" s="140">
        <v>1</v>
      </c>
      <c r="I46" s="123"/>
      <c r="J46" s="123"/>
      <c r="K46" s="123"/>
      <c r="L46" s="123"/>
      <c r="M46" s="123"/>
      <c r="N46" s="123"/>
      <c r="O46" s="123"/>
      <c r="P46" s="123"/>
    </row>
    <row r="47" spans="2:16" x14ac:dyDescent="0.25">
      <c r="C47" s="43" t="s">
        <v>236</v>
      </c>
      <c r="D47" s="141">
        <v>1</v>
      </c>
      <c r="E47" s="141">
        <v>1.65</v>
      </c>
      <c r="F47" s="141">
        <v>1.65</v>
      </c>
      <c r="G47" s="141">
        <v>1.65</v>
      </c>
      <c r="H47" s="141">
        <v>1.65</v>
      </c>
      <c r="I47" s="123"/>
      <c r="J47" s="123"/>
      <c r="K47" s="123"/>
      <c r="L47" s="123"/>
      <c r="M47" s="123"/>
      <c r="N47" s="123"/>
      <c r="O47" s="123"/>
      <c r="P47" s="123"/>
    </row>
    <row r="48" spans="2:16" x14ac:dyDescent="0.25">
      <c r="C48" s="43" t="s">
        <v>65</v>
      </c>
      <c r="D48" s="141">
        <v>1</v>
      </c>
      <c r="E48" s="141">
        <v>2.73</v>
      </c>
      <c r="F48" s="141">
        <v>2.73</v>
      </c>
      <c r="G48" s="141">
        <v>2.73</v>
      </c>
      <c r="H48" s="141">
        <v>2.73</v>
      </c>
      <c r="I48" s="123"/>
      <c r="J48" s="123"/>
      <c r="K48" s="123"/>
      <c r="L48" s="123"/>
      <c r="M48" s="123"/>
      <c r="N48" s="123"/>
      <c r="O48" s="123"/>
      <c r="P48" s="123"/>
    </row>
    <row r="49" spans="1:16" x14ac:dyDescent="0.25">
      <c r="C49" s="43" t="s">
        <v>66</v>
      </c>
      <c r="D49" s="141">
        <v>1</v>
      </c>
      <c r="E49" s="141">
        <v>11.21</v>
      </c>
      <c r="F49" s="141">
        <v>11.21</v>
      </c>
      <c r="G49" s="141">
        <v>11.21</v>
      </c>
      <c r="H49" s="141">
        <v>11.21</v>
      </c>
      <c r="I49" s="123"/>
      <c r="J49" s="123"/>
      <c r="K49" s="123"/>
      <c r="L49" s="123"/>
      <c r="M49" s="123"/>
      <c r="N49" s="123"/>
      <c r="O49" s="123"/>
      <c r="P49" s="123"/>
    </row>
    <row r="50" spans="1:16" x14ac:dyDescent="0.25">
      <c r="B50" s="35" t="s">
        <v>23</v>
      </c>
      <c r="C50" s="43" t="s">
        <v>235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  <c r="I50" s="123"/>
      <c r="J50" s="123"/>
      <c r="K50" s="123"/>
      <c r="L50" s="123"/>
      <c r="M50" s="123"/>
      <c r="N50" s="123"/>
      <c r="O50" s="123"/>
      <c r="P50" s="123"/>
    </row>
    <row r="51" spans="1:16" x14ac:dyDescent="0.25">
      <c r="C51" s="43" t="s">
        <v>236</v>
      </c>
      <c r="D51" s="141">
        <v>1</v>
      </c>
      <c r="E51" s="141">
        <v>1.65</v>
      </c>
      <c r="F51" s="141">
        <v>1.65</v>
      </c>
      <c r="G51" s="141">
        <v>1.65</v>
      </c>
      <c r="H51" s="141">
        <v>1.65</v>
      </c>
      <c r="I51" s="123"/>
      <c r="J51" s="123"/>
      <c r="K51" s="123"/>
      <c r="L51" s="123"/>
      <c r="M51" s="123"/>
      <c r="N51" s="123"/>
      <c r="O51" s="123"/>
      <c r="P51" s="123"/>
    </row>
    <row r="52" spans="1:16" x14ac:dyDescent="0.25">
      <c r="C52" s="43" t="s">
        <v>65</v>
      </c>
      <c r="D52" s="141">
        <v>1</v>
      </c>
      <c r="E52" s="141">
        <v>2.73</v>
      </c>
      <c r="F52" s="141">
        <v>2.73</v>
      </c>
      <c r="G52" s="141">
        <v>2.73</v>
      </c>
      <c r="H52" s="141">
        <v>2.73</v>
      </c>
      <c r="I52" s="123"/>
      <c r="J52" s="123"/>
      <c r="K52" s="123"/>
      <c r="L52" s="123"/>
      <c r="M52" s="123"/>
      <c r="N52" s="123"/>
      <c r="O52" s="123"/>
      <c r="P52" s="123"/>
    </row>
    <row r="53" spans="1:16" x14ac:dyDescent="0.25">
      <c r="C53" s="43" t="s">
        <v>66</v>
      </c>
      <c r="D53" s="141">
        <v>1</v>
      </c>
      <c r="E53" s="141">
        <v>11.21</v>
      </c>
      <c r="F53" s="141">
        <v>11.21</v>
      </c>
      <c r="G53" s="141">
        <v>11.21</v>
      </c>
      <c r="H53" s="141">
        <v>11.21</v>
      </c>
      <c r="I53" s="123"/>
      <c r="J53" s="123"/>
      <c r="K53" s="123"/>
      <c r="L53" s="123"/>
      <c r="M53" s="123"/>
      <c r="N53" s="123"/>
      <c r="O53" s="123"/>
      <c r="P53" s="123"/>
    </row>
    <row r="54" spans="1:16" x14ac:dyDescent="0.25">
      <c r="C54" s="43"/>
      <c r="D54" s="43"/>
    </row>
    <row r="55" spans="1:16" s="105" customFormat="1" ht="13" x14ac:dyDescent="0.3">
      <c r="A55" s="104" t="s">
        <v>242</v>
      </c>
    </row>
    <row r="56" spans="1:16" s="36" customFormat="1" ht="26" x14ac:dyDescent="0.3">
      <c r="A56" s="126" t="s">
        <v>70</v>
      </c>
      <c r="B56" s="99" t="s">
        <v>233</v>
      </c>
      <c r="C56" s="128" t="s">
        <v>243</v>
      </c>
      <c r="D56" s="108" t="s">
        <v>53</v>
      </c>
      <c r="E56" s="108" t="s">
        <v>54</v>
      </c>
      <c r="F56" s="108" t="s">
        <v>55</v>
      </c>
      <c r="G56" s="108" t="s">
        <v>56</v>
      </c>
      <c r="H56" s="125"/>
      <c r="M56" s="125"/>
      <c r="N56" s="125"/>
      <c r="O56" s="125"/>
      <c r="P56" s="125"/>
    </row>
    <row r="57" spans="1:16" ht="13" x14ac:dyDescent="0.3">
      <c r="A57" s="40"/>
      <c r="B57" s="35" t="s">
        <v>38</v>
      </c>
      <c r="C57" s="43" t="s">
        <v>244</v>
      </c>
      <c r="D57" s="140">
        <v>1</v>
      </c>
      <c r="E57" s="140">
        <v>1</v>
      </c>
      <c r="F57" s="140">
        <v>1</v>
      </c>
      <c r="G57" s="140">
        <v>1</v>
      </c>
      <c r="H57" s="123"/>
      <c r="M57" s="123"/>
      <c r="N57" s="123"/>
      <c r="O57" s="123"/>
      <c r="P57" s="123"/>
    </row>
    <row r="58" spans="1:16" x14ac:dyDescent="0.25">
      <c r="C58" s="43" t="s">
        <v>245</v>
      </c>
      <c r="D58" s="141">
        <v>10.675000000000001</v>
      </c>
      <c r="E58" s="141">
        <v>10.675000000000001</v>
      </c>
      <c r="F58" s="141">
        <v>10.675000000000001</v>
      </c>
      <c r="G58" s="141">
        <v>10.675000000000001</v>
      </c>
      <c r="H58" s="123"/>
      <c r="M58" s="123"/>
      <c r="N58" s="123"/>
      <c r="O58" s="123"/>
      <c r="P58" s="123"/>
    </row>
    <row r="59" spans="1:16" x14ac:dyDescent="0.25">
      <c r="B59" s="35" t="s">
        <v>39</v>
      </c>
      <c r="C59" s="43" t="s">
        <v>244</v>
      </c>
      <c r="D59" s="140">
        <v>1</v>
      </c>
      <c r="E59" s="140">
        <v>1</v>
      </c>
      <c r="F59" s="140">
        <v>1</v>
      </c>
      <c r="G59" s="140">
        <v>1</v>
      </c>
      <c r="H59" s="123"/>
      <c r="M59" s="123"/>
      <c r="N59" s="123"/>
      <c r="O59" s="123"/>
      <c r="P59" s="123"/>
    </row>
    <row r="60" spans="1:16" x14ac:dyDescent="0.25">
      <c r="C60" s="43" t="s">
        <v>245</v>
      </c>
      <c r="D60" s="141">
        <v>10.675000000000001</v>
      </c>
      <c r="E60" s="141">
        <v>10.675000000000001</v>
      </c>
      <c r="F60" s="141">
        <v>10.675000000000001</v>
      </c>
      <c r="G60" s="141">
        <v>10.675000000000001</v>
      </c>
      <c r="H60" s="123"/>
      <c r="M60" s="123"/>
      <c r="N60" s="123"/>
      <c r="O60" s="123"/>
      <c r="P60" s="123"/>
    </row>
    <row r="61" spans="1:16" x14ac:dyDescent="0.25">
      <c r="B61" s="35" t="s">
        <v>40</v>
      </c>
      <c r="C61" s="43" t="s">
        <v>244</v>
      </c>
      <c r="D61" s="140">
        <v>1</v>
      </c>
      <c r="E61" s="140">
        <v>1</v>
      </c>
      <c r="F61" s="140">
        <v>1</v>
      </c>
      <c r="G61" s="140">
        <v>1</v>
      </c>
      <c r="H61" s="123"/>
      <c r="M61" s="123"/>
      <c r="N61" s="123"/>
      <c r="O61" s="123"/>
      <c r="P61" s="123"/>
    </row>
    <row r="62" spans="1:16" x14ac:dyDescent="0.25">
      <c r="C62" s="43" t="s">
        <v>245</v>
      </c>
      <c r="D62" s="141">
        <v>10.675000000000001</v>
      </c>
      <c r="E62" s="141">
        <v>10.675000000000001</v>
      </c>
      <c r="F62" s="141">
        <v>10.675000000000001</v>
      </c>
      <c r="G62" s="141">
        <v>10.675000000000001</v>
      </c>
      <c r="H62" s="123"/>
      <c r="M62" s="123"/>
      <c r="N62" s="123"/>
      <c r="O62" s="123"/>
      <c r="P62" s="123"/>
    </row>
    <row r="63" spans="1:16" x14ac:dyDescent="0.25">
      <c r="C63" s="43"/>
      <c r="D63" s="43"/>
    </row>
    <row r="64" spans="1:16" s="105" customFormat="1" ht="13" x14ac:dyDescent="0.3">
      <c r="A64" s="104" t="s">
        <v>246</v>
      </c>
    </row>
    <row r="65" spans="1:16" s="36" customFormat="1" ht="26" x14ac:dyDescent="0.3">
      <c r="A65" s="126" t="s">
        <v>24</v>
      </c>
      <c r="B65" s="99" t="s">
        <v>233</v>
      </c>
      <c r="C65" s="128" t="s">
        <v>247</v>
      </c>
      <c r="D65" s="108" t="s">
        <v>1</v>
      </c>
      <c r="E65" s="108" t="s">
        <v>2</v>
      </c>
      <c r="F65" s="108" t="s">
        <v>3</v>
      </c>
      <c r="G65" s="108" t="s">
        <v>4</v>
      </c>
      <c r="H65" s="129" t="s">
        <v>5</v>
      </c>
      <c r="I65" s="125"/>
      <c r="J65" s="125"/>
      <c r="K65" s="125"/>
      <c r="L65" s="125"/>
      <c r="M65" s="125"/>
      <c r="N65" s="125"/>
      <c r="O65" s="125"/>
      <c r="P65" s="125"/>
    </row>
    <row r="66" spans="1:16" ht="13" x14ac:dyDescent="0.3">
      <c r="A66" s="130"/>
      <c r="B66" s="35" t="s">
        <v>73</v>
      </c>
      <c r="C66" s="43" t="s">
        <v>166</v>
      </c>
      <c r="D66" s="140">
        <v>1</v>
      </c>
      <c r="E66" s="140">
        <v>1</v>
      </c>
      <c r="F66" s="140">
        <v>1</v>
      </c>
      <c r="G66" s="140">
        <v>1</v>
      </c>
      <c r="H66" s="123">
        <v>1</v>
      </c>
      <c r="I66" s="123"/>
      <c r="J66" s="123"/>
      <c r="K66" s="123"/>
      <c r="L66" s="123"/>
      <c r="M66" s="123"/>
      <c r="N66" s="123"/>
      <c r="O66" s="123"/>
      <c r="P66" s="123"/>
    </row>
    <row r="67" spans="1:16" x14ac:dyDescent="0.25">
      <c r="C67" s="43" t="s">
        <v>167</v>
      </c>
      <c r="D67" s="141">
        <v>1.35</v>
      </c>
      <c r="E67" s="141">
        <v>1</v>
      </c>
      <c r="F67" s="141">
        <v>1</v>
      </c>
      <c r="G67" s="141">
        <v>1</v>
      </c>
      <c r="H67" s="123">
        <v>1</v>
      </c>
      <c r="I67" s="123"/>
      <c r="J67" s="123"/>
      <c r="K67" s="123"/>
      <c r="L67" s="123"/>
      <c r="M67" s="123"/>
      <c r="N67" s="123"/>
      <c r="O67" s="123"/>
      <c r="P67" s="123"/>
    </row>
    <row r="68" spans="1:16" x14ac:dyDescent="0.25">
      <c r="C68" s="43" t="s">
        <v>168</v>
      </c>
      <c r="D68" s="141">
        <v>1.35</v>
      </c>
      <c r="E68" s="141">
        <v>1</v>
      </c>
      <c r="F68" s="141">
        <v>1</v>
      </c>
      <c r="G68" s="141">
        <v>1</v>
      </c>
      <c r="H68" s="123">
        <v>1</v>
      </c>
      <c r="I68" s="123"/>
      <c r="J68" s="123"/>
      <c r="K68" s="123"/>
      <c r="L68" s="123"/>
      <c r="M68" s="123"/>
      <c r="N68" s="123"/>
      <c r="O68" s="123"/>
      <c r="P68" s="123"/>
    </row>
    <row r="69" spans="1:16" x14ac:dyDescent="0.25">
      <c r="C69" s="43" t="s">
        <v>169</v>
      </c>
      <c r="D69" s="141">
        <v>5.4</v>
      </c>
      <c r="E69" s="141">
        <v>1</v>
      </c>
      <c r="F69" s="141">
        <v>1</v>
      </c>
      <c r="G69" s="141">
        <v>1</v>
      </c>
      <c r="H69" s="123">
        <v>1</v>
      </c>
      <c r="I69" s="123"/>
      <c r="J69" s="123"/>
      <c r="K69" s="123"/>
      <c r="L69" s="123"/>
      <c r="M69" s="123"/>
      <c r="N69" s="123"/>
      <c r="O69" s="123"/>
      <c r="P69" s="123"/>
    </row>
    <row r="70" spans="1:16" x14ac:dyDescent="0.25">
      <c r="B70" s="35" t="s">
        <v>7</v>
      </c>
      <c r="C70" s="43" t="s">
        <v>166</v>
      </c>
      <c r="D70" s="140">
        <v>1</v>
      </c>
      <c r="E70" s="140">
        <v>1</v>
      </c>
      <c r="F70" s="140">
        <v>1</v>
      </c>
      <c r="G70" s="140">
        <v>1</v>
      </c>
      <c r="H70" s="123">
        <v>1</v>
      </c>
      <c r="I70" s="123"/>
      <c r="J70" s="123"/>
      <c r="K70" s="123"/>
      <c r="L70" s="123"/>
      <c r="M70" s="123"/>
      <c r="N70" s="123"/>
      <c r="O70" s="123"/>
      <c r="P70" s="123"/>
    </row>
    <row r="71" spans="1:16" x14ac:dyDescent="0.25">
      <c r="C71" s="43" t="s">
        <v>167</v>
      </c>
      <c r="D71" s="141">
        <v>1.35</v>
      </c>
      <c r="E71" s="141">
        <v>1</v>
      </c>
      <c r="F71" s="141">
        <v>1</v>
      </c>
      <c r="G71" s="141">
        <v>1</v>
      </c>
      <c r="H71" s="123">
        <v>1</v>
      </c>
      <c r="I71" s="123"/>
      <c r="J71" s="123"/>
      <c r="K71" s="123"/>
      <c r="L71" s="123"/>
      <c r="M71" s="123"/>
      <c r="N71" s="123"/>
      <c r="O71" s="123"/>
      <c r="P71" s="123"/>
    </row>
    <row r="72" spans="1:16" x14ac:dyDescent="0.25">
      <c r="C72" s="43" t="s">
        <v>168</v>
      </c>
      <c r="D72" s="141">
        <v>1.35</v>
      </c>
      <c r="E72" s="141">
        <v>1</v>
      </c>
      <c r="F72" s="141">
        <v>1</v>
      </c>
      <c r="G72" s="141">
        <v>1</v>
      </c>
      <c r="H72" s="123">
        <v>1</v>
      </c>
      <c r="I72" s="123"/>
      <c r="J72" s="123"/>
      <c r="K72" s="123"/>
      <c r="L72" s="123"/>
      <c r="M72" s="123"/>
      <c r="N72" s="123"/>
      <c r="O72" s="123"/>
      <c r="P72" s="123"/>
    </row>
    <row r="73" spans="1:16" x14ac:dyDescent="0.25">
      <c r="C73" s="43" t="s">
        <v>169</v>
      </c>
      <c r="D73" s="141">
        <v>5.4</v>
      </c>
      <c r="E73" s="141">
        <v>1</v>
      </c>
      <c r="F73" s="141">
        <v>1</v>
      </c>
      <c r="G73" s="141">
        <v>1</v>
      </c>
      <c r="H73" s="123">
        <v>1</v>
      </c>
      <c r="I73" s="123"/>
      <c r="J73" s="123"/>
      <c r="K73" s="123"/>
      <c r="L73" s="123"/>
      <c r="M73" s="123"/>
      <c r="N73" s="123"/>
      <c r="O73" s="123"/>
      <c r="P73" s="123"/>
    </row>
    <row r="74" spans="1:16" x14ac:dyDescent="0.25">
      <c r="B74" s="35" t="s">
        <v>8</v>
      </c>
      <c r="C74" s="43" t="s">
        <v>166</v>
      </c>
      <c r="D74" s="140">
        <v>1</v>
      </c>
      <c r="E74" s="140">
        <v>1</v>
      </c>
      <c r="F74" s="140">
        <v>1</v>
      </c>
      <c r="G74" s="140">
        <v>1</v>
      </c>
      <c r="H74" s="123">
        <v>1</v>
      </c>
      <c r="I74" s="123"/>
      <c r="J74" s="123"/>
      <c r="K74" s="123"/>
      <c r="L74" s="123"/>
      <c r="M74" s="123"/>
      <c r="N74" s="123"/>
      <c r="O74" s="123"/>
      <c r="P74" s="123"/>
    </row>
    <row r="75" spans="1:16" x14ac:dyDescent="0.25">
      <c r="C75" s="43" t="s">
        <v>167</v>
      </c>
      <c r="D75" s="141">
        <v>1.35</v>
      </c>
      <c r="E75" s="141">
        <v>1</v>
      </c>
      <c r="F75" s="141">
        <v>1</v>
      </c>
      <c r="G75" s="141">
        <v>1</v>
      </c>
      <c r="H75" s="123">
        <v>1</v>
      </c>
      <c r="I75" s="123"/>
      <c r="J75" s="123"/>
      <c r="K75" s="123"/>
      <c r="L75" s="123"/>
      <c r="M75" s="123"/>
      <c r="N75" s="123"/>
      <c r="O75" s="123"/>
      <c r="P75" s="123"/>
    </row>
    <row r="76" spans="1:16" x14ac:dyDescent="0.25">
      <c r="C76" s="43" t="s">
        <v>168</v>
      </c>
      <c r="D76" s="141">
        <v>1.35</v>
      </c>
      <c r="E76" s="141">
        <v>1</v>
      </c>
      <c r="F76" s="141">
        <v>1</v>
      </c>
      <c r="G76" s="141">
        <v>1</v>
      </c>
      <c r="H76" s="123">
        <v>1</v>
      </c>
      <c r="I76" s="123"/>
      <c r="J76" s="123"/>
      <c r="K76" s="123"/>
      <c r="L76" s="123"/>
      <c r="M76" s="123"/>
      <c r="N76" s="123"/>
      <c r="O76" s="123"/>
      <c r="P76" s="123"/>
    </row>
    <row r="77" spans="1:16" x14ac:dyDescent="0.25">
      <c r="C77" s="43" t="s">
        <v>169</v>
      </c>
      <c r="D77" s="141">
        <v>5.4</v>
      </c>
      <c r="E77" s="141">
        <v>1</v>
      </c>
      <c r="F77" s="141">
        <v>1</v>
      </c>
      <c r="G77" s="141">
        <v>1</v>
      </c>
      <c r="H77" s="123">
        <v>1</v>
      </c>
      <c r="I77" s="123"/>
      <c r="J77" s="123"/>
      <c r="K77" s="123"/>
      <c r="L77" s="123"/>
      <c r="M77" s="123"/>
      <c r="N77" s="123"/>
      <c r="O77" s="123"/>
      <c r="P77" s="123"/>
    </row>
    <row r="78" spans="1:16" x14ac:dyDescent="0.25">
      <c r="B78" s="35" t="s">
        <v>13</v>
      </c>
      <c r="C78" s="43" t="s">
        <v>166</v>
      </c>
      <c r="D78" s="140">
        <v>1</v>
      </c>
      <c r="E78" s="140">
        <v>1</v>
      </c>
      <c r="F78" s="140">
        <v>1</v>
      </c>
      <c r="G78" s="140">
        <v>1</v>
      </c>
      <c r="H78" s="123">
        <v>1</v>
      </c>
      <c r="I78" s="123"/>
      <c r="J78" s="123"/>
      <c r="K78" s="123"/>
      <c r="L78" s="123"/>
      <c r="M78" s="123"/>
      <c r="N78" s="123"/>
      <c r="O78" s="123"/>
      <c r="P78" s="123"/>
    </row>
    <row r="79" spans="1:16" x14ac:dyDescent="0.25">
      <c r="C79" s="43" t="s">
        <v>167</v>
      </c>
      <c r="D79" s="141">
        <v>1</v>
      </c>
      <c r="E79" s="141">
        <v>1</v>
      </c>
      <c r="F79" s="141">
        <v>1</v>
      </c>
      <c r="G79" s="141">
        <v>1</v>
      </c>
      <c r="H79" s="123">
        <v>1</v>
      </c>
      <c r="I79" s="123"/>
      <c r="J79" s="123"/>
      <c r="K79" s="123"/>
      <c r="L79" s="123"/>
      <c r="M79" s="123"/>
      <c r="N79" s="123"/>
      <c r="O79" s="123"/>
      <c r="P79" s="123"/>
    </row>
    <row r="80" spans="1:16" x14ac:dyDescent="0.25">
      <c r="C80" s="43" t="s">
        <v>168</v>
      </c>
      <c r="D80" s="141">
        <v>1</v>
      </c>
      <c r="E80" s="141">
        <v>1</v>
      </c>
      <c r="F80" s="141">
        <v>1</v>
      </c>
      <c r="G80" s="141">
        <v>1</v>
      </c>
      <c r="H80" s="123">
        <v>1</v>
      </c>
      <c r="I80" s="123"/>
      <c r="J80" s="123"/>
      <c r="K80" s="123"/>
      <c r="L80" s="123"/>
      <c r="M80" s="123"/>
      <c r="N80" s="123"/>
      <c r="O80" s="123"/>
      <c r="P80" s="123"/>
    </row>
    <row r="81" spans="2:16" x14ac:dyDescent="0.25">
      <c r="C81" s="43" t="s">
        <v>169</v>
      </c>
      <c r="D81" s="141">
        <v>1</v>
      </c>
      <c r="E81" s="141">
        <v>1</v>
      </c>
      <c r="F81" s="141">
        <v>1</v>
      </c>
      <c r="G81" s="141">
        <v>1</v>
      </c>
      <c r="H81" s="123">
        <v>1</v>
      </c>
      <c r="I81" s="123"/>
      <c r="J81" s="123"/>
      <c r="K81" s="123"/>
      <c r="L81" s="123"/>
      <c r="M81" s="123"/>
      <c r="N81" s="123"/>
      <c r="O81" s="123"/>
      <c r="P81" s="123"/>
    </row>
    <row r="82" spans="2:16" x14ac:dyDescent="0.25">
      <c r="B82" s="35" t="s">
        <v>71</v>
      </c>
      <c r="C82" s="43" t="s">
        <v>166</v>
      </c>
      <c r="D82" s="140">
        <v>1</v>
      </c>
      <c r="E82" s="140">
        <v>1</v>
      </c>
      <c r="F82" s="140">
        <v>1</v>
      </c>
      <c r="G82" s="140">
        <v>1</v>
      </c>
      <c r="H82" s="123">
        <v>1</v>
      </c>
      <c r="I82" s="123"/>
      <c r="J82" s="123"/>
      <c r="K82" s="123"/>
      <c r="L82" s="123"/>
      <c r="M82" s="123"/>
      <c r="N82" s="123"/>
      <c r="O82" s="123"/>
      <c r="P82" s="123"/>
    </row>
    <row r="83" spans="2:16" x14ac:dyDescent="0.25">
      <c r="C83" s="43" t="s">
        <v>167</v>
      </c>
      <c r="D83" s="141">
        <v>1</v>
      </c>
      <c r="E83" s="141">
        <v>2.2799999999999998</v>
      </c>
      <c r="F83" s="141">
        <v>1</v>
      </c>
      <c r="G83" s="141">
        <v>1</v>
      </c>
      <c r="H83" s="123">
        <v>1</v>
      </c>
      <c r="I83" s="123"/>
      <c r="J83" s="123"/>
      <c r="K83" s="123"/>
      <c r="L83" s="123"/>
      <c r="M83" s="123"/>
      <c r="N83" s="123"/>
      <c r="O83" s="123"/>
      <c r="P83" s="123"/>
    </row>
    <row r="84" spans="2:16" x14ac:dyDescent="0.25">
      <c r="C84" s="43" t="s">
        <v>168</v>
      </c>
      <c r="D84" s="141">
        <v>1</v>
      </c>
      <c r="E84" s="141">
        <v>4.62</v>
      </c>
      <c r="F84" s="141">
        <v>1</v>
      </c>
      <c r="G84" s="141">
        <v>1</v>
      </c>
      <c r="H84" s="123">
        <v>1</v>
      </c>
      <c r="I84" s="123"/>
      <c r="J84" s="123"/>
      <c r="K84" s="123"/>
      <c r="L84" s="123"/>
      <c r="M84" s="123"/>
      <c r="N84" s="123"/>
      <c r="O84" s="123"/>
      <c r="P84" s="123"/>
    </row>
    <row r="85" spans="2:16" x14ac:dyDescent="0.25">
      <c r="C85" s="43" t="s">
        <v>169</v>
      </c>
      <c r="D85" s="141">
        <v>1</v>
      </c>
      <c r="E85" s="141">
        <v>10.53</v>
      </c>
      <c r="F85" s="141">
        <v>1.47</v>
      </c>
      <c r="G85" s="141">
        <v>2.57</v>
      </c>
      <c r="H85" s="123">
        <v>1</v>
      </c>
      <c r="I85" s="123"/>
      <c r="J85" s="123"/>
      <c r="K85" s="123"/>
      <c r="L85" s="123"/>
      <c r="M85" s="123"/>
      <c r="N85" s="123"/>
      <c r="O85" s="123"/>
      <c r="P85" s="123"/>
    </row>
    <row r="86" spans="2:16" x14ac:dyDescent="0.25">
      <c r="B86" s="35" t="s">
        <v>16</v>
      </c>
      <c r="C86" s="43" t="s">
        <v>166</v>
      </c>
      <c r="D86" s="140">
        <v>1</v>
      </c>
      <c r="E86" s="140">
        <v>1</v>
      </c>
      <c r="F86" s="140">
        <v>1</v>
      </c>
      <c r="G86" s="140">
        <v>1</v>
      </c>
      <c r="H86" s="123">
        <v>1</v>
      </c>
      <c r="I86" s="123"/>
      <c r="J86" s="123"/>
      <c r="K86" s="123"/>
      <c r="L86" s="123"/>
      <c r="M86" s="123"/>
      <c r="N86" s="123"/>
      <c r="O86" s="123"/>
      <c r="P86" s="123"/>
    </row>
    <row r="87" spans="2:16" x14ac:dyDescent="0.25">
      <c r="C87" s="43" t="s">
        <v>167</v>
      </c>
      <c r="D87" s="141">
        <v>1</v>
      </c>
      <c r="E87" s="141">
        <v>1.66</v>
      </c>
      <c r="F87" s="141">
        <v>1</v>
      </c>
      <c r="G87" s="141">
        <v>1</v>
      </c>
      <c r="H87" s="123">
        <v>1</v>
      </c>
      <c r="I87" s="123"/>
      <c r="J87" s="123"/>
      <c r="K87" s="123"/>
      <c r="L87" s="123"/>
      <c r="M87" s="123"/>
      <c r="N87" s="123"/>
      <c r="O87" s="123"/>
      <c r="P87" s="123"/>
    </row>
    <row r="88" spans="2:16" x14ac:dyDescent="0.25">
      <c r="C88" s="43" t="s">
        <v>168</v>
      </c>
      <c r="D88" s="141">
        <v>1</v>
      </c>
      <c r="E88" s="141">
        <v>2.5</v>
      </c>
      <c r="F88" s="141">
        <v>1</v>
      </c>
      <c r="G88" s="141">
        <v>1</v>
      </c>
      <c r="H88" s="123">
        <v>1</v>
      </c>
      <c r="I88" s="123"/>
      <c r="J88" s="123"/>
      <c r="K88" s="123"/>
      <c r="L88" s="123"/>
      <c r="M88" s="123"/>
      <c r="N88" s="123"/>
      <c r="O88" s="123"/>
      <c r="P88" s="123"/>
    </row>
    <row r="89" spans="2:16" x14ac:dyDescent="0.25">
      <c r="C89" s="43" t="s">
        <v>169</v>
      </c>
      <c r="D89" s="141">
        <v>1</v>
      </c>
      <c r="E89" s="141">
        <v>14.97</v>
      </c>
      <c r="F89" s="141">
        <v>1.92</v>
      </c>
      <c r="G89" s="141">
        <v>1.92</v>
      </c>
      <c r="H89" s="123">
        <v>1</v>
      </c>
      <c r="I89" s="123"/>
      <c r="J89" s="123"/>
      <c r="K89" s="123"/>
      <c r="L89" s="123"/>
      <c r="M89" s="123"/>
      <c r="N89" s="123"/>
      <c r="O89" s="123"/>
      <c r="P89" s="123"/>
    </row>
    <row r="90" spans="2:16" x14ac:dyDescent="0.25">
      <c r="B90" s="35" t="s">
        <v>18</v>
      </c>
      <c r="C90" s="43" t="s">
        <v>166</v>
      </c>
      <c r="D90" s="140">
        <v>1</v>
      </c>
      <c r="E90" s="140">
        <v>1</v>
      </c>
      <c r="F90" s="140">
        <v>1</v>
      </c>
      <c r="G90" s="140">
        <v>1</v>
      </c>
      <c r="H90" s="123">
        <v>1</v>
      </c>
      <c r="I90" s="123"/>
      <c r="J90" s="123"/>
      <c r="K90" s="123"/>
      <c r="L90" s="123"/>
      <c r="M90" s="123"/>
      <c r="N90" s="123"/>
      <c r="O90" s="123"/>
      <c r="P90" s="123"/>
    </row>
    <row r="91" spans="2:16" x14ac:dyDescent="0.25">
      <c r="C91" s="43" t="s">
        <v>167</v>
      </c>
      <c r="D91" s="141">
        <v>1</v>
      </c>
      <c r="E91" s="141">
        <v>1.48</v>
      </c>
      <c r="F91" s="141">
        <v>1</v>
      </c>
      <c r="G91" s="141">
        <v>1</v>
      </c>
      <c r="H91" s="123">
        <v>1</v>
      </c>
      <c r="I91" s="123"/>
      <c r="J91" s="123"/>
      <c r="K91" s="123"/>
      <c r="L91" s="123"/>
      <c r="M91" s="123"/>
      <c r="N91" s="123"/>
      <c r="O91" s="123"/>
      <c r="P91" s="123"/>
    </row>
    <row r="92" spans="2:16" x14ac:dyDescent="0.25">
      <c r="C92" s="43" t="s">
        <v>168</v>
      </c>
      <c r="D92" s="141">
        <v>1</v>
      </c>
      <c r="E92" s="141">
        <v>2.84</v>
      </c>
      <c r="F92" s="141">
        <v>1</v>
      </c>
      <c r="G92" s="141">
        <v>1</v>
      </c>
      <c r="H92" s="123">
        <v>1</v>
      </c>
      <c r="I92" s="123"/>
      <c r="J92" s="123"/>
      <c r="K92" s="123"/>
      <c r="L92" s="123"/>
      <c r="M92" s="123"/>
      <c r="N92" s="123"/>
      <c r="O92" s="123"/>
      <c r="P92" s="123"/>
    </row>
    <row r="93" spans="2:16" x14ac:dyDescent="0.25">
      <c r="C93" s="43" t="s">
        <v>169</v>
      </c>
      <c r="D93" s="141">
        <v>1</v>
      </c>
      <c r="E93" s="141">
        <v>14.4</v>
      </c>
      <c r="F93" s="141">
        <v>3.69</v>
      </c>
      <c r="G93" s="141">
        <v>3.69</v>
      </c>
      <c r="H93" s="123">
        <v>1</v>
      </c>
      <c r="I93" s="123"/>
      <c r="J93" s="123"/>
      <c r="K93" s="123"/>
      <c r="L93" s="123"/>
      <c r="M93" s="123"/>
      <c r="N93" s="123"/>
      <c r="O93" s="123"/>
      <c r="P93" s="123"/>
    </row>
    <row r="94" spans="2:16" x14ac:dyDescent="0.25">
      <c r="B94" s="35" t="s">
        <v>17</v>
      </c>
      <c r="C94" s="43" t="s">
        <v>166</v>
      </c>
      <c r="D94" s="140">
        <v>1</v>
      </c>
      <c r="E94" s="140">
        <v>1</v>
      </c>
      <c r="F94" s="140">
        <v>1</v>
      </c>
      <c r="G94" s="140">
        <v>1</v>
      </c>
      <c r="H94" s="123">
        <v>1</v>
      </c>
      <c r="I94" s="123"/>
      <c r="J94" s="123"/>
      <c r="K94" s="123"/>
      <c r="L94" s="123"/>
      <c r="M94" s="123"/>
      <c r="N94" s="123"/>
      <c r="O94" s="123"/>
      <c r="P94" s="123"/>
    </row>
    <row r="95" spans="2:16" x14ac:dyDescent="0.25">
      <c r="C95" s="43" t="s">
        <v>167</v>
      </c>
      <c r="D95" s="141">
        <v>1</v>
      </c>
      <c r="E95" s="141">
        <v>1.48</v>
      </c>
      <c r="F95" s="141">
        <v>1</v>
      </c>
      <c r="G95" s="141">
        <v>1</v>
      </c>
      <c r="H95" s="123">
        <v>1</v>
      </c>
      <c r="I95" s="123"/>
      <c r="J95" s="123"/>
      <c r="K95" s="123"/>
      <c r="L95" s="123"/>
      <c r="M95" s="123"/>
      <c r="N95" s="123"/>
      <c r="O95" s="123"/>
      <c r="P95" s="123"/>
    </row>
    <row r="96" spans="2:16" x14ac:dyDescent="0.25">
      <c r="C96" s="43" t="s">
        <v>168</v>
      </c>
      <c r="D96" s="141">
        <v>1</v>
      </c>
      <c r="E96" s="141">
        <v>2.84</v>
      </c>
      <c r="F96" s="141">
        <v>1</v>
      </c>
      <c r="G96" s="141">
        <v>1</v>
      </c>
      <c r="H96" s="123">
        <v>1</v>
      </c>
      <c r="I96" s="123"/>
      <c r="J96" s="123"/>
      <c r="K96" s="123"/>
      <c r="L96" s="123"/>
      <c r="M96" s="123"/>
      <c r="N96" s="123"/>
      <c r="O96" s="123"/>
      <c r="P96" s="123"/>
    </row>
    <row r="97" spans="1:16" x14ac:dyDescent="0.25">
      <c r="C97" s="43" t="s">
        <v>169</v>
      </c>
      <c r="D97" s="141">
        <v>1</v>
      </c>
      <c r="E97" s="141">
        <v>14.4</v>
      </c>
      <c r="F97" s="141">
        <v>3.69</v>
      </c>
      <c r="G97" s="141">
        <v>3.69</v>
      </c>
      <c r="H97" s="123">
        <v>1</v>
      </c>
      <c r="I97" s="123"/>
      <c r="J97" s="123"/>
      <c r="K97" s="123"/>
      <c r="L97" s="123"/>
      <c r="M97" s="123"/>
      <c r="N97" s="123"/>
      <c r="O97" s="123"/>
      <c r="P97" s="123"/>
    </row>
    <row r="98" spans="1:16" x14ac:dyDescent="0.25">
      <c r="B98" s="35" t="s">
        <v>20</v>
      </c>
      <c r="C98" s="43" t="s">
        <v>166</v>
      </c>
      <c r="D98" s="140">
        <v>1</v>
      </c>
      <c r="E98" s="140">
        <v>1</v>
      </c>
      <c r="F98" s="140">
        <v>1</v>
      </c>
      <c r="G98" s="140">
        <v>1</v>
      </c>
      <c r="H98" s="123">
        <v>1</v>
      </c>
      <c r="I98" s="123"/>
      <c r="J98" s="123"/>
      <c r="K98" s="123"/>
      <c r="L98" s="123"/>
      <c r="M98" s="123"/>
      <c r="N98" s="123"/>
      <c r="O98" s="123"/>
      <c r="P98" s="123"/>
    </row>
    <row r="99" spans="1:16" x14ac:dyDescent="0.25">
      <c r="C99" s="43" t="s">
        <v>167</v>
      </c>
      <c r="D99" s="141">
        <v>1</v>
      </c>
      <c r="E99" s="141">
        <v>1.48</v>
      </c>
      <c r="F99" s="141">
        <v>1</v>
      </c>
      <c r="G99" s="141">
        <v>1</v>
      </c>
      <c r="H99" s="123">
        <v>1</v>
      </c>
      <c r="I99" s="123"/>
      <c r="J99" s="123"/>
      <c r="K99" s="123"/>
      <c r="L99" s="123"/>
      <c r="M99" s="123"/>
      <c r="N99" s="123"/>
      <c r="O99" s="123"/>
      <c r="P99" s="123"/>
    </row>
    <row r="100" spans="1:16" x14ac:dyDescent="0.25">
      <c r="C100" s="43" t="s">
        <v>168</v>
      </c>
      <c r="D100" s="141">
        <v>1</v>
      </c>
      <c r="E100" s="141">
        <v>2.84</v>
      </c>
      <c r="F100" s="141">
        <v>1</v>
      </c>
      <c r="G100" s="141">
        <v>1</v>
      </c>
      <c r="H100" s="123">
        <v>1</v>
      </c>
      <c r="I100" s="123"/>
      <c r="J100" s="123"/>
      <c r="K100" s="123"/>
      <c r="L100" s="123"/>
      <c r="M100" s="123"/>
      <c r="N100" s="123"/>
      <c r="O100" s="123"/>
      <c r="P100" s="123"/>
    </row>
    <row r="101" spans="1:16" x14ac:dyDescent="0.25">
      <c r="C101" s="43" t="s">
        <v>169</v>
      </c>
      <c r="D101" s="141">
        <v>1</v>
      </c>
      <c r="E101" s="141">
        <v>14.4</v>
      </c>
      <c r="F101" s="141">
        <v>3.69</v>
      </c>
      <c r="G101" s="141">
        <v>3.69</v>
      </c>
      <c r="H101" s="123">
        <v>1</v>
      </c>
      <c r="I101" s="123"/>
      <c r="J101" s="123"/>
      <c r="K101" s="123"/>
      <c r="L101" s="123"/>
      <c r="M101" s="123"/>
      <c r="N101" s="123"/>
      <c r="O101" s="123"/>
      <c r="P101" s="123"/>
    </row>
    <row r="103" spans="1:16" s="105" customFormat="1" ht="13" x14ac:dyDescent="0.3">
      <c r="A103" s="104" t="s">
        <v>248</v>
      </c>
    </row>
    <row r="104" spans="1:16" s="36" customFormat="1" ht="26" x14ac:dyDescent="0.3">
      <c r="A104" s="126" t="s">
        <v>71</v>
      </c>
      <c r="B104" s="131" t="s">
        <v>169</v>
      </c>
      <c r="C104" s="128" t="s">
        <v>247</v>
      </c>
      <c r="D104" s="108" t="s">
        <v>1</v>
      </c>
      <c r="E104" s="108" t="s">
        <v>2</v>
      </c>
      <c r="F104" s="108" t="s">
        <v>3</v>
      </c>
      <c r="G104" s="108" t="s">
        <v>4</v>
      </c>
      <c r="H104" s="129" t="s">
        <v>5</v>
      </c>
      <c r="I104" s="125"/>
      <c r="J104" s="125"/>
      <c r="K104" s="125"/>
      <c r="L104" s="125"/>
      <c r="M104" s="125"/>
      <c r="N104" s="125"/>
      <c r="O104" s="125"/>
      <c r="P104" s="125"/>
    </row>
    <row r="105" spans="1:16" ht="13" x14ac:dyDescent="0.3">
      <c r="A105" s="40"/>
      <c r="B105" s="36"/>
      <c r="C105" s="43" t="s">
        <v>166</v>
      </c>
      <c r="D105" s="140">
        <v>1</v>
      </c>
      <c r="E105" s="140">
        <v>1</v>
      </c>
      <c r="F105" s="140">
        <v>1</v>
      </c>
      <c r="G105" s="140">
        <v>1</v>
      </c>
      <c r="H105" s="123">
        <v>1</v>
      </c>
      <c r="I105" s="123"/>
      <c r="J105" s="123"/>
      <c r="K105" s="123"/>
      <c r="L105" s="123"/>
      <c r="M105" s="123"/>
      <c r="N105" s="123"/>
      <c r="O105" s="123"/>
      <c r="P105" s="123"/>
    </row>
    <row r="106" spans="1:16" x14ac:dyDescent="0.25">
      <c r="C106" s="43" t="s">
        <v>167</v>
      </c>
      <c r="D106" s="141">
        <v>1.26</v>
      </c>
      <c r="E106" s="141">
        <v>1.26</v>
      </c>
      <c r="F106" s="141">
        <v>1</v>
      </c>
      <c r="G106" s="141">
        <v>1</v>
      </c>
      <c r="H106" s="123">
        <v>1</v>
      </c>
      <c r="I106" s="123"/>
      <c r="J106" s="123"/>
      <c r="K106" s="123"/>
      <c r="L106" s="123"/>
      <c r="M106" s="123"/>
      <c r="N106" s="123"/>
      <c r="O106" s="123"/>
      <c r="P106" s="123"/>
    </row>
    <row r="107" spans="1:16" x14ac:dyDescent="0.25">
      <c r="C107" s="43" t="s">
        <v>168</v>
      </c>
      <c r="D107" s="141">
        <v>1.68</v>
      </c>
      <c r="E107" s="141">
        <v>1.68</v>
      </c>
      <c r="F107" s="141">
        <v>1</v>
      </c>
      <c r="G107" s="141">
        <v>1</v>
      </c>
      <c r="H107" s="123">
        <v>1</v>
      </c>
      <c r="I107" s="123"/>
      <c r="J107" s="123"/>
      <c r="K107" s="123"/>
      <c r="L107" s="123"/>
      <c r="M107" s="123"/>
      <c r="N107" s="123"/>
      <c r="O107" s="123"/>
      <c r="P107" s="123"/>
    </row>
    <row r="108" spans="1:16" x14ac:dyDescent="0.25">
      <c r="C108" s="43" t="s">
        <v>169</v>
      </c>
      <c r="D108" s="141">
        <v>2.65</v>
      </c>
      <c r="E108" s="141">
        <v>2.65</v>
      </c>
      <c r="F108" s="141">
        <v>2.0699999999999998</v>
      </c>
      <c r="G108" s="141">
        <v>2.0699999999999998</v>
      </c>
      <c r="H108" s="123">
        <v>1</v>
      </c>
      <c r="I108" s="123"/>
      <c r="J108" s="123"/>
      <c r="K108" s="123"/>
      <c r="L108" s="123"/>
      <c r="M108" s="123"/>
      <c r="N108" s="123"/>
      <c r="O108" s="123"/>
      <c r="P108" s="123"/>
    </row>
    <row r="111" spans="1:16" ht="13" x14ac:dyDescent="0.3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D3" sqref="D3"/>
    </sheetView>
  </sheetViews>
  <sheetFormatPr defaultColWidth="12.7265625" defaultRowHeight="12.5" x14ac:dyDescent="0.25"/>
  <cols>
    <col min="1" max="1" width="25.7265625" style="35" customWidth="1"/>
    <col min="2" max="2" width="44.453125" style="35" customWidth="1"/>
    <col min="3" max="3" width="17.7265625" style="35" customWidth="1"/>
    <col min="4" max="4" width="17.54296875" style="35" customWidth="1"/>
    <col min="5" max="5" width="17.26953125" style="35" customWidth="1"/>
    <col min="6" max="6" width="15" style="35" customWidth="1"/>
    <col min="7" max="7" width="13.7265625" style="35" customWidth="1"/>
    <col min="8" max="16384" width="12.7265625" style="35"/>
  </cols>
  <sheetData>
    <row r="1" spans="1:7" s="105" customFormat="1" ht="14.25" customHeight="1" x14ac:dyDescent="0.3">
      <c r="A1" s="104" t="s">
        <v>249</v>
      </c>
    </row>
    <row r="2" spans="1:7" ht="14.25" customHeight="1" x14ac:dyDescent="0.3">
      <c r="A2" s="130" t="s">
        <v>25</v>
      </c>
      <c r="B2" s="124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8" t="s">
        <v>250</v>
      </c>
      <c r="C3" s="141" t="s">
        <v>251</v>
      </c>
      <c r="D3" s="141">
        <v>45</v>
      </c>
      <c r="E3" s="141">
        <v>361.6</v>
      </c>
      <c r="F3" s="141">
        <v>174.7</v>
      </c>
      <c r="G3" s="141">
        <v>174.7</v>
      </c>
    </row>
    <row r="4" spans="1:7" ht="14.25" customHeight="1" x14ac:dyDescent="0.3">
      <c r="A4" s="40"/>
      <c r="B4" s="122" t="s">
        <v>252</v>
      </c>
      <c r="C4" s="141">
        <v>1.0249999999999999</v>
      </c>
      <c r="D4" s="141">
        <v>1.0249999999999999</v>
      </c>
      <c r="E4" s="141">
        <v>1.0249999999999999</v>
      </c>
      <c r="F4" s="141">
        <v>1.0249999999999999</v>
      </c>
      <c r="G4" s="141">
        <v>1.0249999999999999</v>
      </c>
    </row>
    <row r="5" spans="1:7" ht="14.25" customHeight="1" x14ac:dyDescent="0.3">
      <c r="A5" s="109" t="s">
        <v>253</v>
      </c>
    </row>
    <row r="6" spans="1:7" ht="14.25" customHeight="1" x14ac:dyDescent="0.25">
      <c r="B6" s="122" t="s">
        <v>58</v>
      </c>
      <c r="C6" s="141">
        <v>1</v>
      </c>
      <c r="D6" s="141">
        <v>1</v>
      </c>
      <c r="E6" s="141">
        <v>0.89</v>
      </c>
      <c r="F6" s="141">
        <v>0.89</v>
      </c>
      <c r="G6" s="141">
        <v>1</v>
      </c>
    </row>
    <row r="7" spans="1:7" ht="14.25" customHeight="1" x14ac:dyDescent="0.25">
      <c r="B7" s="122" t="s">
        <v>136</v>
      </c>
      <c r="C7" s="141">
        <v>1</v>
      </c>
      <c r="D7" s="141">
        <v>1</v>
      </c>
      <c r="E7" s="141">
        <v>0.89</v>
      </c>
      <c r="F7" s="141">
        <v>0.89</v>
      </c>
      <c r="G7" s="141">
        <v>1</v>
      </c>
    </row>
    <row r="8" spans="1:7" ht="14.25" customHeight="1" x14ac:dyDescent="0.25">
      <c r="B8" s="122" t="s">
        <v>60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</row>
    <row r="9" spans="1:7" ht="14.25" customHeight="1" x14ac:dyDescent="0.25">
      <c r="B9" s="122"/>
      <c r="C9" s="122"/>
      <c r="D9" s="122"/>
      <c r="E9" s="122"/>
      <c r="F9" s="122"/>
      <c r="G9" s="122"/>
    </row>
    <row r="10" spans="1:7" s="105" customFormat="1" ht="14.25" customHeight="1" x14ac:dyDescent="0.3">
      <c r="A10" s="104" t="s">
        <v>254</v>
      </c>
    </row>
    <row r="11" spans="1:7" ht="14.25" customHeight="1" x14ac:dyDescent="0.3">
      <c r="A11" s="109"/>
      <c r="B11" s="118" t="s">
        <v>196</v>
      </c>
      <c r="C11" s="141">
        <v>1.5</v>
      </c>
      <c r="D11" s="141">
        <v>1.39</v>
      </c>
      <c r="E11" s="141">
        <v>1</v>
      </c>
      <c r="F11" s="141">
        <v>1</v>
      </c>
      <c r="G11" s="141">
        <v>1</v>
      </c>
    </row>
    <row r="12" spans="1:7" ht="14.25" customHeight="1" x14ac:dyDescent="0.3">
      <c r="A12" s="109"/>
      <c r="B12" s="118"/>
    </row>
    <row r="13" spans="1:7" s="105" customFormat="1" ht="14.25" customHeight="1" x14ac:dyDescent="0.3">
      <c r="A13" s="104" t="s">
        <v>255</v>
      </c>
    </row>
    <row r="14" spans="1:7" ht="14.25" customHeight="1" x14ac:dyDescent="0.3">
      <c r="A14" s="130" t="s">
        <v>240</v>
      </c>
      <c r="B14" s="122" t="s">
        <v>256</v>
      </c>
      <c r="C14" s="141">
        <v>1.0249999999999999</v>
      </c>
      <c r="D14" s="141">
        <v>1.0249999999999999</v>
      </c>
      <c r="E14" s="141">
        <v>1.0249999999999999</v>
      </c>
      <c r="F14" s="141">
        <v>1.0249999999999999</v>
      </c>
      <c r="G14" s="141">
        <v>1.0249999999999999</v>
      </c>
    </row>
    <row r="15" spans="1:7" ht="14.25" customHeight="1" x14ac:dyDescent="0.3">
      <c r="A15" s="40"/>
      <c r="B15" s="122" t="s">
        <v>257</v>
      </c>
      <c r="C15" s="141">
        <v>1.0249999999999999</v>
      </c>
      <c r="D15" s="141">
        <v>1.0249999999999999</v>
      </c>
      <c r="E15" s="141">
        <v>1.0249999999999999</v>
      </c>
      <c r="F15" s="141">
        <v>1.0249999999999999</v>
      </c>
      <c r="G15" s="141">
        <v>1.0249999999999999</v>
      </c>
    </row>
    <row r="16" spans="1:7" ht="14.25" customHeight="1" x14ac:dyDescent="0.3">
      <c r="A16" s="130" t="s">
        <v>70</v>
      </c>
      <c r="B16" s="118" t="s">
        <v>258</v>
      </c>
      <c r="C16" s="141">
        <v>1</v>
      </c>
      <c r="D16" s="141">
        <v>1</v>
      </c>
      <c r="E16" s="141">
        <v>1</v>
      </c>
      <c r="F16" s="141">
        <v>1</v>
      </c>
      <c r="G16" s="141">
        <v>1</v>
      </c>
    </row>
    <row r="17" spans="1:6" ht="14.25" customHeight="1" x14ac:dyDescent="0.25"/>
    <row r="18" spans="1:6" s="105" customFormat="1" ht="14.25" customHeight="1" x14ac:dyDescent="0.3">
      <c r="A18" s="104" t="s">
        <v>259</v>
      </c>
    </row>
    <row r="19" spans="1:6" s="109" customFormat="1" ht="14.25" customHeight="1" x14ac:dyDescent="0.3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8" t="s">
        <v>198</v>
      </c>
      <c r="C20" s="141">
        <v>1.52</v>
      </c>
      <c r="D20" s="141">
        <v>1</v>
      </c>
      <c r="E20" s="141">
        <v>1</v>
      </c>
      <c r="F20" s="14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E6" sqref="C6:E6"/>
    </sheetView>
  </sheetViews>
  <sheetFormatPr defaultColWidth="16.1796875" defaultRowHeight="15.75" customHeight="1" x14ac:dyDescent="0.25"/>
  <cols>
    <col min="1" max="1" width="52.26953125" style="35" customWidth="1"/>
    <col min="2" max="6" width="16.1796875" style="35"/>
    <col min="7" max="7" width="17.26953125" style="35" customWidth="1"/>
    <col min="8" max="8" width="16.1796875" style="35" customWidth="1"/>
    <col min="9" max="16384" width="16.1796875" style="35"/>
  </cols>
  <sheetData>
    <row r="1" spans="1:6" ht="15.75" customHeight="1" x14ac:dyDescent="0.3">
      <c r="A1" s="124" t="s">
        <v>69</v>
      </c>
      <c r="B1" s="40"/>
      <c r="C1" s="40" t="s">
        <v>9</v>
      </c>
      <c r="D1" s="40" t="s">
        <v>12</v>
      </c>
      <c r="E1" s="40" t="s">
        <v>11</v>
      </c>
      <c r="F1" s="124" t="s">
        <v>26</v>
      </c>
    </row>
    <row r="2" spans="1:6" ht="15.75" customHeight="1" x14ac:dyDescent="0.25">
      <c r="A2" s="95" t="s">
        <v>29</v>
      </c>
      <c r="B2" s="95" t="s">
        <v>260</v>
      </c>
      <c r="C2" s="141">
        <v>0.21</v>
      </c>
      <c r="D2" s="141">
        <v>0.21</v>
      </c>
      <c r="E2" s="141">
        <v>0</v>
      </c>
      <c r="F2" s="141">
        <v>0</v>
      </c>
    </row>
    <row r="3" spans="1:6" ht="15.75" customHeight="1" x14ac:dyDescent="0.25">
      <c r="A3" s="95"/>
      <c r="B3" s="95" t="s">
        <v>261</v>
      </c>
      <c r="C3" s="141">
        <v>1</v>
      </c>
      <c r="D3" s="141">
        <v>1</v>
      </c>
      <c r="E3" s="141">
        <v>1</v>
      </c>
      <c r="F3" s="141">
        <v>1</v>
      </c>
    </row>
    <row r="4" spans="1:6" ht="15.75" customHeight="1" x14ac:dyDescent="0.25">
      <c r="A4" s="95" t="s">
        <v>187</v>
      </c>
      <c r="B4" s="95" t="s">
        <v>260</v>
      </c>
      <c r="C4" s="141">
        <v>0</v>
      </c>
      <c r="D4" s="141">
        <v>0</v>
      </c>
      <c r="E4" s="141">
        <v>0</v>
      </c>
      <c r="F4" s="141">
        <v>0</v>
      </c>
    </row>
    <row r="5" spans="1:6" ht="15.75" customHeight="1" x14ac:dyDescent="0.25">
      <c r="A5" s="95"/>
      <c r="B5" s="95" t="s">
        <v>261</v>
      </c>
      <c r="C5" s="141">
        <v>1</v>
      </c>
      <c r="D5" s="141">
        <v>1</v>
      </c>
      <c r="E5" s="141">
        <v>1</v>
      </c>
      <c r="F5" s="141">
        <v>1</v>
      </c>
    </row>
    <row r="6" spans="1:6" ht="15.75" customHeight="1" x14ac:dyDescent="0.25">
      <c r="A6" s="95" t="s">
        <v>209</v>
      </c>
      <c r="B6" s="95" t="s">
        <v>260</v>
      </c>
      <c r="C6" s="141">
        <v>0</v>
      </c>
      <c r="D6" s="141">
        <v>0</v>
      </c>
      <c r="E6" s="141">
        <v>0</v>
      </c>
      <c r="F6" s="141">
        <v>0</v>
      </c>
    </row>
    <row r="7" spans="1:6" ht="15.75" customHeight="1" x14ac:dyDescent="0.25">
      <c r="A7" s="95"/>
      <c r="B7" s="95" t="s">
        <v>261</v>
      </c>
      <c r="C7" s="141">
        <v>1</v>
      </c>
      <c r="D7" s="141">
        <v>1</v>
      </c>
      <c r="E7" s="141">
        <v>1</v>
      </c>
      <c r="F7" s="141">
        <v>1</v>
      </c>
    </row>
    <row r="8" spans="1:6" ht="15.75" customHeight="1" x14ac:dyDescent="0.25">
      <c r="A8" s="95" t="s">
        <v>57</v>
      </c>
      <c r="B8" s="95" t="s">
        <v>260</v>
      </c>
      <c r="C8" s="141">
        <v>0.35</v>
      </c>
      <c r="D8" s="141">
        <v>0.35</v>
      </c>
      <c r="E8" s="141">
        <v>0</v>
      </c>
      <c r="F8" s="141">
        <v>0</v>
      </c>
    </row>
    <row r="9" spans="1:6" ht="15.75" customHeight="1" x14ac:dyDescent="0.25">
      <c r="A9" s="95"/>
      <c r="B9" s="95" t="s">
        <v>261</v>
      </c>
      <c r="C9" s="141">
        <v>1</v>
      </c>
      <c r="D9" s="141">
        <v>1</v>
      </c>
      <c r="E9" s="141">
        <v>0</v>
      </c>
      <c r="F9" s="141">
        <v>0</v>
      </c>
    </row>
    <row r="10" spans="1:6" ht="15.75" customHeight="1" x14ac:dyDescent="0.25">
      <c r="A10" s="95" t="s">
        <v>34</v>
      </c>
      <c r="B10" s="95" t="s">
        <v>260</v>
      </c>
      <c r="C10" s="141">
        <v>0.35</v>
      </c>
      <c r="D10" s="141">
        <v>0.35</v>
      </c>
      <c r="E10" s="141">
        <v>0</v>
      </c>
      <c r="F10" s="141">
        <v>0</v>
      </c>
    </row>
    <row r="11" spans="1:6" ht="15.75" customHeight="1" x14ac:dyDescent="0.25">
      <c r="A11" s="95"/>
      <c r="B11" s="95" t="s">
        <v>261</v>
      </c>
      <c r="C11" s="141">
        <v>1</v>
      </c>
      <c r="D11" s="141">
        <v>1</v>
      </c>
      <c r="E11" s="141">
        <v>0</v>
      </c>
      <c r="F11" s="141">
        <v>0</v>
      </c>
    </row>
    <row r="12" spans="1:6" ht="15.75" customHeight="1" x14ac:dyDescent="0.25">
      <c r="A12" s="95" t="s">
        <v>59</v>
      </c>
      <c r="B12" s="95" t="s">
        <v>260</v>
      </c>
      <c r="C12" s="141">
        <v>0.08</v>
      </c>
      <c r="D12" s="141">
        <v>0.08</v>
      </c>
      <c r="E12" s="141">
        <v>0</v>
      </c>
      <c r="F12" s="141">
        <v>0</v>
      </c>
    </row>
    <row r="13" spans="1:6" ht="15.75" customHeight="1" x14ac:dyDescent="0.25">
      <c r="A13" s="95"/>
      <c r="B13" s="95" t="s">
        <v>261</v>
      </c>
      <c r="C13" s="141">
        <v>1</v>
      </c>
      <c r="D13" s="141">
        <v>1</v>
      </c>
      <c r="E13" s="141">
        <v>1</v>
      </c>
      <c r="F13" s="141">
        <v>1</v>
      </c>
    </row>
    <row r="19" spans="1:1" ht="15.75" customHeight="1" x14ac:dyDescent="0.25">
      <c r="A19" s="95"/>
    </row>
    <row r="20" spans="1:1" ht="15.75" customHeight="1" x14ac:dyDescent="0.25">
      <c r="A20" s="95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H1" workbookViewId="0">
      <selection activeCell="E19" sqref="E19:O20"/>
    </sheetView>
  </sheetViews>
  <sheetFormatPr defaultColWidth="12.7265625" defaultRowHeight="12.5" x14ac:dyDescent="0.25"/>
  <cols>
    <col min="1" max="1" width="22.54296875" style="35" customWidth="1"/>
    <col min="2" max="2" width="58.81640625" style="35" bestFit="1" customWidth="1"/>
    <col min="3" max="15" width="15" style="35" customWidth="1"/>
    <col min="16" max="16384" width="12.7265625" style="35"/>
  </cols>
  <sheetData>
    <row r="1" spans="1:15" ht="35.25" customHeight="1" x14ac:dyDescent="0.3">
      <c r="A1" s="40"/>
      <c r="B1" s="40"/>
      <c r="C1" s="108" t="s">
        <v>1</v>
      </c>
      <c r="D1" s="108" t="s">
        <v>2</v>
      </c>
      <c r="E1" s="108" t="s">
        <v>3</v>
      </c>
      <c r="F1" s="108" t="s">
        <v>4</v>
      </c>
      <c r="G1" s="108" t="s">
        <v>5</v>
      </c>
      <c r="H1" s="108" t="s">
        <v>49</v>
      </c>
      <c r="I1" s="108" t="s">
        <v>50</v>
      </c>
      <c r="J1" s="108" t="s">
        <v>51</v>
      </c>
      <c r="K1" s="108" t="s">
        <v>52</v>
      </c>
      <c r="L1" s="108" t="s">
        <v>53</v>
      </c>
      <c r="M1" s="108" t="s">
        <v>54</v>
      </c>
      <c r="N1" s="108" t="s">
        <v>55</v>
      </c>
      <c r="O1" s="108" t="s">
        <v>56</v>
      </c>
    </row>
    <row r="2" spans="1:15" ht="13" x14ac:dyDescent="0.3">
      <c r="A2" s="40" t="s">
        <v>262</v>
      </c>
    </row>
    <row r="3" spans="1:15" x14ac:dyDescent="0.25">
      <c r="B3" s="63" t="s">
        <v>149</v>
      </c>
      <c r="C3" s="141">
        <v>0.53</v>
      </c>
      <c r="D3" s="141">
        <v>0.53</v>
      </c>
      <c r="E3" s="141">
        <v>1</v>
      </c>
      <c r="F3" s="141">
        <v>1</v>
      </c>
      <c r="G3" s="141">
        <v>1</v>
      </c>
      <c r="H3" s="141">
        <v>1</v>
      </c>
      <c r="I3" s="141">
        <v>1</v>
      </c>
      <c r="J3" s="141">
        <v>1</v>
      </c>
      <c r="K3" s="141">
        <v>1</v>
      </c>
      <c r="L3" s="141">
        <v>1</v>
      </c>
      <c r="M3" s="141">
        <v>1</v>
      </c>
      <c r="N3" s="141">
        <v>1</v>
      </c>
      <c r="O3" s="141">
        <v>1</v>
      </c>
    </row>
    <row r="4" spans="1:15" x14ac:dyDescent="0.25">
      <c r="B4" s="63" t="s">
        <v>188</v>
      </c>
      <c r="C4" s="141">
        <v>1</v>
      </c>
      <c r="D4" s="141">
        <v>1</v>
      </c>
      <c r="E4" s="141">
        <v>1</v>
      </c>
      <c r="F4" s="141">
        <v>1</v>
      </c>
      <c r="G4" s="141">
        <v>1</v>
      </c>
      <c r="H4" s="141">
        <v>0.73</v>
      </c>
      <c r="I4" s="141">
        <v>0.73</v>
      </c>
      <c r="J4" s="141">
        <v>0.73</v>
      </c>
      <c r="K4" s="141">
        <v>0.73</v>
      </c>
      <c r="L4" s="141">
        <v>1</v>
      </c>
      <c r="M4" s="141">
        <v>1</v>
      </c>
      <c r="N4" s="141">
        <v>1</v>
      </c>
      <c r="O4" s="141">
        <v>1</v>
      </c>
    </row>
    <row r="5" spans="1:15" x14ac:dyDescent="0.25">
      <c r="B5" s="63" t="s">
        <v>208</v>
      </c>
      <c r="C5" s="141">
        <v>1</v>
      </c>
      <c r="D5" s="141">
        <v>1</v>
      </c>
      <c r="E5" s="141">
        <v>1</v>
      </c>
      <c r="F5" s="141">
        <v>1</v>
      </c>
      <c r="G5" s="141">
        <v>1</v>
      </c>
      <c r="H5" s="141">
        <v>0.73</v>
      </c>
      <c r="I5" s="141">
        <v>0.73</v>
      </c>
      <c r="J5" s="141">
        <v>0.73</v>
      </c>
      <c r="K5" s="141">
        <v>0.73</v>
      </c>
      <c r="L5" s="141">
        <v>1</v>
      </c>
      <c r="M5" s="141">
        <v>1</v>
      </c>
      <c r="N5" s="141">
        <v>1</v>
      </c>
      <c r="O5" s="141">
        <v>1</v>
      </c>
    </row>
    <row r="6" spans="1:15" x14ac:dyDescent="0.25">
      <c r="B6" s="63" t="s">
        <v>189</v>
      </c>
      <c r="C6" s="141">
        <v>1</v>
      </c>
      <c r="D6" s="141">
        <v>1</v>
      </c>
      <c r="E6" s="141">
        <v>1</v>
      </c>
      <c r="F6" s="141">
        <v>1</v>
      </c>
      <c r="G6" s="141">
        <v>1</v>
      </c>
      <c r="H6" s="141">
        <v>0.73</v>
      </c>
      <c r="I6" s="141">
        <v>0.73</v>
      </c>
      <c r="J6" s="141">
        <v>0.73</v>
      </c>
      <c r="K6" s="141">
        <v>0.73</v>
      </c>
      <c r="L6" s="141">
        <v>1</v>
      </c>
      <c r="M6" s="141">
        <v>1</v>
      </c>
      <c r="N6" s="141">
        <v>1</v>
      </c>
      <c r="O6" s="141">
        <v>1</v>
      </c>
    </row>
    <row r="7" spans="1:15" x14ac:dyDescent="0.25">
      <c r="B7" s="63" t="s">
        <v>190</v>
      </c>
      <c r="C7" s="141">
        <v>1</v>
      </c>
      <c r="D7" s="141">
        <v>1</v>
      </c>
      <c r="E7" s="141">
        <v>1</v>
      </c>
      <c r="F7" s="141">
        <v>1</v>
      </c>
      <c r="G7" s="141">
        <v>1</v>
      </c>
      <c r="H7" s="141">
        <v>0.73</v>
      </c>
      <c r="I7" s="141">
        <v>0.73</v>
      </c>
      <c r="J7" s="141">
        <v>0.73</v>
      </c>
      <c r="K7" s="141">
        <v>0.73</v>
      </c>
      <c r="L7" s="141">
        <v>1</v>
      </c>
      <c r="M7" s="141">
        <v>1</v>
      </c>
      <c r="N7" s="141">
        <v>1</v>
      </c>
      <c r="O7" s="141">
        <v>1</v>
      </c>
    </row>
    <row r="8" spans="1:15" x14ac:dyDescent="0.25">
      <c r="B8" s="95" t="s">
        <v>187</v>
      </c>
      <c r="C8" s="141">
        <v>1</v>
      </c>
      <c r="D8" s="141">
        <v>1</v>
      </c>
      <c r="E8" s="141">
        <v>1</v>
      </c>
      <c r="F8" s="141">
        <v>1</v>
      </c>
      <c r="G8" s="141">
        <v>1</v>
      </c>
      <c r="H8" s="141">
        <v>1</v>
      </c>
      <c r="I8" s="141">
        <v>1</v>
      </c>
      <c r="J8" s="141">
        <v>1</v>
      </c>
      <c r="K8" s="141">
        <v>1</v>
      </c>
      <c r="L8" s="141">
        <v>0.33</v>
      </c>
      <c r="M8" s="141">
        <v>0.33</v>
      </c>
      <c r="N8" s="141">
        <v>0.33</v>
      </c>
      <c r="O8" s="141">
        <v>0.33</v>
      </c>
    </row>
    <row r="9" spans="1:15" x14ac:dyDescent="0.25">
      <c r="B9" s="95" t="s">
        <v>209</v>
      </c>
      <c r="C9" s="141">
        <v>1</v>
      </c>
      <c r="D9" s="141">
        <v>1</v>
      </c>
      <c r="E9" s="141">
        <v>1</v>
      </c>
      <c r="F9" s="141">
        <v>1</v>
      </c>
      <c r="G9" s="141">
        <v>1</v>
      </c>
      <c r="H9" s="141">
        <v>1</v>
      </c>
      <c r="I9" s="141">
        <v>1</v>
      </c>
      <c r="J9" s="141">
        <v>1</v>
      </c>
      <c r="K9" s="141">
        <v>1</v>
      </c>
      <c r="L9" s="141">
        <v>0.33</v>
      </c>
      <c r="M9" s="141">
        <v>0.33</v>
      </c>
      <c r="N9" s="141">
        <v>0.33</v>
      </c>
      <c r="O9" s="141">
        <v>0.33</v>
      </c>
    </row>
    <row r="10" spans="1:15" x14ac:dyDescent="0.25">
      <c r="B10" s="63" t="s">
        <v>57</v>
      </c>
      <c r="C10" s="141">
        <v>1</v>
      </c>
      <c r="D10" s="141">
        <v>1</v>
      </c>
      <c r="E10" s="141">
        <v>1</v>
      </c>
      <c r="F10" s="141">
        <v>1</v>
      </c>
      <c r="G10" s="141">
        <v>1</v>
      </c>
      <c r="H10" s="141">
        <v>1</v>
      </c>
      <c r="I10" s="141">
        <v>1</v>
      </c>
      <c r="J10" s="141">
        <v>1</v>
      </c>
      <c r="K10" s="141">
        <v>1</v>
      </c>
      <c r="L10" s="141">
        <v>0.83</v>
      </c>
      <c r="M10" s="141">
        <v>0.83</v>
      </c>
      <c r="N10" s="141">
        <v>0.83</v>
      </c>
      <c r="O10" s="141">
        <v>0.83</v>
      </c>
    </row>
    <row r="11" spans="1:15" x14ac:dyDescent="0.25">
      <c r="B11" s="95" t="s">
        <v>136</v>
      </c>
      <c r="C11" s="141">
        <v>1</v>
      </c>
      <c r="D11" s="141">
        <v>1</v>
      </c>
      <c r="E11" s="141">
        <v>0.69</v>
      </c>
      <c r="F11" s="141">
        <v>0.69</v>
      </c>
      <c r="G11" s="141">
        <v>1</v>
      </c>
      <c r="H11" s="141">
        <v>1</v>
      </c>
      <c r="I11" s="141">
        <v>1</v>
      </c>
      <c r="J11" s="141">
        <v>1</v>
      </c>
      <c r="K11" s="141">
        <v>1</v>
      </c>
      <c r="L11" s="141">
        <v>1</v>
      </c>
      <c r="M11" s="141">
        <v>1</v>
      </c>
      <c r="N11" s="141">
        <v>1</v>
      </c>
      <c r="O11" s="141">
        <v>1</v>
      </c>
    </row>
    <row r="12" spans="1:15" x14ac:dyDescent="0.25">
      <c r="B12" s="63" t="s">
        <v>34</v>
      </c>
      <c r="C12" s="141">
        <v>0.83</v>
      </c>
      <c r="D12" s="141">
        <v>0.83</v>
      </c>
      <c r="E12" s="141">
        <v>0.83</v>
      </c>
      <c r="F12" s="141">
        <v>0.83</v>
      </c>
      <c r="G12" s="141">
        <v>0.83</v>
      </c>
      <c r="H12" s="141">
        <v>0.83</v>
      </c>
      <c r="I12" s="141">
        <v>0.83</v>
      </c>
      <c r="J12" s="141">
        <v>0.83</v>
      </c>
      <c r="K12" s="141">
        <v>0.83</v>
      </c>
      <c r="L12" s="141">
        <v>0.83</v>
      </c>
      <c r="M12" s="141">
        <v>0.83</v>
      </c>
      <c r="N12" s="141">
        <v>0.83</v>
      </c>
      <c r="O12" s="141">
        <v>0.83</v>
      </c>
    </row>
    <row r="13" spans="1:15" ht="13.15" customHeight="1" x14ac:dyDescent="0.25">
      <c r="B13" s="63" t="s">
        <v>137</v>
      </c>
      <c r="C13" s="141">
        <v>1</v>
      </c>
      <c r="D13" s="141">
        <v>1</v>
      </c>
      <c r="E13" s="141">
        <v>0.69</v>
      </c>
      <c r="F13" s="141">
        <v>0.69</v>
      </c>
      <c r="G13" s="141">
        <v>0.69</v>
      </c>
      <c r="H13" s="141">
        <v>1</v>
      </c>
      <c r="I13" s="141">
        <v>1</v>
      </c>
      <c r="J13" s="141">
        <v>1</v>
      </c>
      <c r="K13" s="141">
        <v>1</v>
      </c>
      <c r="L13" s="141">
        <v>1</v>
      </c>
      <c r="M13" s="141">
        <v>1</v>
      </c>
      <c r="N13" s="141">
        <v>1</v>
      </c>
      <c r="O13" s="141">
        <v>1</v>
      </c>
    </row>
    <row r="14" spans="1:15" x14ac:dyDescent="0.25">
      <c r="B14" s="63" t="s">
        <v>59</v>
      </c>
      <c r="C14" s="141">
        <v>1</v>
      </c>
      <c r="D14" s="141">
        <v>1</v>
      </c>
      <c r="E14" s="141">
        <v>1</v>
      </c>
      <c r="F14" s="141">
        <v>1</v>
      </c>
      <c r="G14" s="141">
        <v>1</v>
      </c>
      <c r="H14" s="141">
        <v>1</v>
      </c>
      <c r="I14" s="141">
        <v>1</v>
      </c>
      <c r="J14" s="141">
        <v>1</v>
      </c>
      <c r="K14" s="141">
        <v>1</v>
      </c>
      <c r="L14" s="141">
        <v>0.33</v>
      </c>
      <c r="M14" s="141">
        <v>0.33</v>
      </c>
      <c r="N14" s="141">
        <v>0.33</v>
      </c>
      <c r="O14" s="141">
        <v>0.33</v>
      </c>
    </row>
    <row r="16" spans="1:15" ht="13" x14ac:dyDescent="0.3">
      <c r="A16" s="40" t="s">
        <v>263</v>
      </c>
      <c r="B16" s="63"/>
    </row>
    <row r="17" spans="2:15" x14ac:dyDescent="0.25">
      <c r="B17" s="95" t="s">
        <v>63</v>
      </c>
      <c r="C17" s="141">
        <v>1</v>
      </c>
      <c r="D17" s="141">
        <v>1</v>
      </c>
      <c r="E17" s="141">
        <v>0.97599999999999998</v>
      </c>
      <c r="F17" s="141">
        <v>0.97599999999999998</v>
      </c>
      <c r="G17" s="141">
        <v>0.97599999999999998</v>
      </c>
      <c r="H17" s="141">
        <v>0.97599999999999998</v>
      </c>
      <c r="I17" s="141">
        <v>0.97599999999999998</v>
      </c>
      <c r="J17" s="141">
        <v>0.97599999999999998</v>
      </c>
      <c r="K17" s="141">
        <v>0.97599999999999998</v>
      </c>
      <c r="L17" s="141">
        <v>0.97599999999999998</v>
      </c>
      <c r="M17" s="141">
        <v>0.97599999999999998</v>
      </c>
      <c r="N17" s="141">
        <v>0.97599999999999998</v>
      </c>
      <c r="O17" s="141">
        <v>0.97599999999999998</v>
      </c>
    </row>
    <row r="18" spans="2:15" x14ac:dyDescent="0.25">
      <c r="B18" s="95" t="s">
        <v>64</v>
      </c>
      <c r="C18" s="141">
        <v>1</v>
      </c>
      <c r="D18" s="141">
        <v>1</v>
      </c>
      <c r="E18" s="141">
        <v>0.97599999999999998</v>
      </c>
      <c r="F18" s="141">
        <v>0.97599999999999998</v>
      </c>
      <c r="G18" s="141">
        <v>0.97599999999999998</v>
      </c>
      <c r="H18" s="141">
        <v>0.97599999999999998</v>
      </c>
      <c r="I18" s="141">
        <v>0.97599999999999998</v>
      </c>
      <c r="J18" s="141">
        <v>0.97599999999999998</v>
      </c>
      <c r="K18" s="141">
        <v>0.97599999999999998</v>
      </c>
      <c r="L18" s="141">
        <v>0.97599999999999998</v>
      </c>
      <c r="M18" s="141">
        <v>0.97599999999999998</v>
      </c>
      <c r="N18" s="141">
        <v>0.97599999999999998</v>
      </c>
      <c r="O18" s="141">
        <v>0.97599999999999998</v>
      </c>
    </row>
    <row r="19" spans="2:15" x14ac:dyDescent="0.25">
      <c r="B19" s="95" t="s">
        <v>62</v>
      </c>
      <c r="C19" s="141">
        <v>1</v>
      </c>
      <c r="D19" s="141">
        <v>1</v>
      </c>
      <c r="E19" s="141">
        <v>0.97599999999999998</v>
      </c>
      <c r="F19" s="141">
        <v>0.97599999999999998</v>
      </c>
      <c r="G19" s="141">
        <v>0.97599999999999998</v>
      </c>
      <c r="H19" s="141">
        <v>0.97599999999999998</v>
      </c>
      <c r="I19" s="141">
        <v>0.97599999999999998</v>
      </c>
      <c r="J19" s="141">
        <v>0.97599999999999998</v>
      </c>
      <c r="K19" s="141">
        <v>0.97599999999999998</v>
      </c>
      <c r="L19" s="141">
        <v>0.97599999999999998</v>
      </c>
      <c r="M19" s="141">
        <v>0.97599999999999998</v>
      </c>
      <c r="N19" s="141">
        <v>0.97599999999999998</v>
      </c>
      <c r="O19" s="141">
        <v>0.97599999999999998</v>
      </c>
    </row>
    <row r="20" spans="2:15" x14ac:dyDescent="0.25">
      <c r="B20" s="95" t="s">
        <v>47</v>
      </c>
      <c r="C20" s="141">
        <v>1</v>
      </c>
      <c r="D20" s="141">
        <v>1</v>
      </c>
      <c r="E20" s="141">
        <v>0.97599999999999998</v>
      </c>
      <c r="F20" s="141">
        <v>0.97599999999999998</v>
      </c>
      <c r="G20" s="141">
        <v>0.97599999999999998</v>
      </c>
      <c r="H20" s="141">
        <v>0.97599999999999998</v>
      </c>
      <c r="I20" s="141">
        <v>0.97599999999999998</v>
      </c>
      <c r="J20" s="141">
        <v>0.97599999999999998</v>
      </c>
      <c r="K20" s="141">
        <v>0.97599999999999998</v>
      </c>
      <c r="L20" s="141">
        <v>0.97599999999999998</v>
      </c>
      <c r="M20" s="141">
        <v>0.97599999999999998</v>
      </c>
      <c r="N20" s="141">
        <v>0.97599999999999998</v>
      </c>
      <c r="O20" s="141">
        <v>0.97599999999999998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D5" sqref="D5:G5"/>
    </sheetView>
  </sheetViews>
  <sheetFormatPr defaultColWidth="12.7265625" defaultRowHeight="12.5" x14ac:dyDescent="0.25"/>
  <cols>
    <col min="1" max="1" width="21.26953125" style="35" customWidth="1"/>
    <col min="2" max="2" width="27.26953125" style="35" customWidth="1"/>
    <col min="3" max="7" width="15.54296875" style="35" customWidth="1"/>
    <col min="8" max="16384" width="12.7265625" style="35"/>
  </cols>
  <sheetData>
    <row r="1" spans="1:7" ht="13" x14ac:dyDescent="0.3">
      <c r="A1" s="40"/>
      <c r="B1" s="124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ht="13" x14ac:dyDescent="0.3">
      <c r="A2" s="40" t="s">
        <v>264</v>
      </c>
    </row>
    <row r="3" spans="1:7" x14ac:dyDescent="0.25">
      <c r="B3" s="63" t="s">
        <v>67</v>
      </c>
      <c r="C3" s="141">
        <v>1</v>
      </c>
      <c r="D3" s="141">
        <v>0.22</v>
      </c>
      <c r="E3" s="141">
        <v>0.22</v>
      </c>
      <c r="F3" s="141">
        <v>0.22</v>
      </c>
      <c r="G3" s="141">
        <v>0.22</v>
      </c>
    </row>
    <row r="4" spans="1:7" ht="13" x14ac:dyDescent="0.3">
      <c r="A4" s="40" t="s">
        <v>265</v>
      </c>
      <c r="B4" s="63"/>
      <c r="C4" s="132"/>
      <c r="D4" s="132"/>
      <c r="E4" s="132"/>
      <c r="F4" s="132"/>
      <c r="G4" s="132"/>
    </row>
    <row r="5" spans="1:7" x14ac:dyDescent="0.25">
      <c r="B5" s="95" t="s">
        <v>183</v>
      </c>
      <c r="C5" s="141">
        <v>1</v>
      </c>
      <c r="D5" s="141">
        <v>0.16</v>
      </c>
      <c r="E5" s="141">
        <v>0.16</v>
      </c>
      <c r="F5" s="141">
        <v>0.16</v>
      </c>
      <c r="G5" s="141">
        <v>0.16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49"/>
  <sheetViews>
    <sheetView topLeftCell="C11" zoomScale="111" workbookViewId="0">
      <selection activeCell="E43" sqref="E43"/>
    </sheetView>
  </sheetViews>
  <sheetFormatPr defaultColWidth="12.7265625" defaultRowHeight="12.5" x14ac:dyDescent="0.25"/>
  <cols>
    <col min="1" max="1" width="53" style="52" customWidth="1"/>
    <col min="2" max="2" width="30.54296875" style="52" customWidth="1"/>
    <col min="3" max="3" width="24.7265625" style="52" customWidth="1"/>
    <col min="4" max="4" width="15" style="35" customWidth="1"/>
    <col min="5" max="5" width="13.7265625" style="35" customWidth="1"/>
    <col min="6" max="6" width="14.453125" style="35" customWidth="1"/>
    <col min="7" max="7" width="12.7265625" style="35"/>
    <col min="8" max="8" width="17.54296875" style="35" customWidth="1"/>
    <col min="9" max="16384" width="12.7265625" style="35"/>
  </cols>
  <sheetData>
    <row r="1" spans="1:9" ht="13" x14ac:dyDescent="0.3">
      <c r="A1" s="40" t="s">
        <v>69</v>
      </c>
      <c r="B1" s="40" t="s">
        <v>266</v>
      </c>
      <c r="C1" s="130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1">
        <v>0</v>
      </c>
      <c r="E2" s="141">
        <v>0</v>
      </c>
      <c r="F2" s="141">
        <v>0.33500000000000002</v>
      </c>
      <c r="G2" s="141">
        <v>0.33500000000000002</v>
      </c>
      <c r="H2" s="141">
        <v>0.33500000000000002</v>
      </c>
    </row>
    <row r="3" spans="1:9" x14ac:dyDescent="0.25">
      <c r="C3" s="52" t="s">
        <v>269</v>
      </c>
      <c r="D3" s="141">
        <v>0</v>
      </c>
      <c r="E3" s="141">
        <v>0</v>
      </c>
      <c r="F3" s="141">
        <v>0.36</v>
      </c>
      <c r="G3" s="141">
        <v>0.36</v>
      </c>
      <c r="H3" s="141">
        <v>0.36</v>
      </c>
    </row>
    <row r="4" spans="1:9" x14ac:dyDescent="0.25">
      <c r="C4" s="52" t="s">
        <v>270</v>
      </c>
      <c r="D4" s="141">
        <v>0</v>
      </c>
      <c r="E4" s="141">
        <v>0</v>
      </c>
      <c r="F4" s="141">
        <v>0.45</v>
      </c>
      <c r="G4" s="141">
        <v>0.45</v>
      </c>
      <c r="H4" s="141">
        <v>0.45</v>
      </c>
    </row>
    <row r="5" spans="1:9" x14ac:dyDescent="0.25">
      <c r="A5" s="52" t="s">
        <v>58</v>
      </c>
      <c r="B5" s="52" t="s">
        <v>66</v>
      </c>
      <c r="C5" s="52" t="s">
        <v>268</v>
      </c>
      <c r="D5" s="141">
        <v>0</v>
      </c>
      <c r="E5" s="141">
        <v>0</v>
      </c>
      <c r="F5" s="141">
        <v>0.33500000000000002</v>
      </c>
      <c r="G5" s="141">
        <v>0.33500000000000002</v>
      </c>
      <c r="H5" s="141">
        <v>0.33500000000000002</v>
      </c>
    </row>
    <row r="6" spans="1:9" x14ac:dyDescent="0.25">
      <c r="C6" s="52" t="s">
        <v>270</v>
      </c>
      <c r="D6" s="141">
        <v>0</v>
      </c>
      <c r="E6" s="141">
        <v>0</v>
      </c>
      <c r="F6" s="141">
        <v>0.25970149253731345</v>
      </c>
      <c r="G6" s="141">
        <v>0.25970149253731345</v>
      </c>
      <c r="H6" s="141">
        <v>0</v>
      </c>
    </row>
    <row r="7" spans="1:9" x14ac:dyDescent="0.25">
      <c r="B7" s="52" t="s">
        <v>65</v>
      </c>
      <c r="C7" s="52" t="s">
        <v>268</v>
      </c>
      <c r="D7" s="141">
        <v>0</v>
      </c>
      <c r="E7" s="141">
        <v>0</v>
      </c>
      <c r="F7" s="141">
        <v>0.33500000000000002</v>
      </c>
      <c r="G7" s="141">
        <v>0.33500000000000002</v>
      </c>
      <c r="H7" s="141">
        <v>0.33500000000000002</v>
      </c>
    </row>
    <row r="8" spans="1:9" x14ac:dyDescent="0.25">
      <c r="C8" s="52" t="s">
        <v>270</v>
      </c>
      <c r="D8" s="141">
        <v>0</v>
      </c>
      <c r="E8" s="141">
        <v>0</v>
      </c>
      <c r="F8" s="141">
        <v>0.25970149253731345</v>
      </c>
      <c r="G8" s="141">
        <v>0.25970149253731345</v>
      </c>
      <c r="H8" s="141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1">
        <v>0</v>
      </c>
      <c r="E9" s="141">
        <v>0</v>
      </c>
      <c r="F9" s="141">
        <v>0.33500000000000002</v>
      </c>
      <c r="G9" s="141">
        <v>0.33500000000000002</v>
      </c>
      <c r="H9" s="141">
        <v>0.33500000000000002</v>
      </c>
    </row>
    <row r="10" spans="1:9" x14ac:dyDescent="0.25">
      <c r="C10" s="52" t="s">
        <v>270</v>
      </c>
      <c r="D10" s="141">
        <v>0</v>
      </c>
      <c r="E10" s="141">
        <v>0</v>
      </c>
      <c r="F10" s="141">
        <v>0.25970149253731345</v>
      </c>
      <c r="G10" s="141">
        <v>0.25970149253731345</v>
      </c>
      <c r="H10" s="141">
        <v>0</v>
      </c>
    </row>
    <row r="11" spans="1:9" x14ac:dyDescent="0.25">
      <c r="B11" s="52" t="s">
        <v>65</v>
      </c>
      <c r="C11" s="52" t="s">
        <v>268</v>
      </c>
      <c r="D11" s="141">
        <v>0</v>
      </c>
      <c r="E11" s="141">
        <v>0</v>
      </c>
      <c r="F11" s="141">
        <v>0.33500000000000002</v>
      </c>
      <c r="G11" s="141">
        <v>0.33500000000000002</v>
      </c>
      <c r="H11" s="141">
        <v>0.33500000000000002</v>
      </c>
    </row>
    <row r="12" spans="1:9" x14ac:dyDescent="0.25">
      <c r="C12" s="52" t="s">
        <v>270</v>
      </c>
      <c r="D12" s="141">
        <v>0</v>
      </c>
      <c r="E12" s="141">
        <v>0</v>
      </c>
      <c r="F12" s="141">
        <v>0.25970149253731345</v>
      </c>
      <c r="G12" s="141">
        <v>0.25970149253731345</v>
      </c>
      <c r="H12" s="141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1">
        <v>0</v>
      </c>
      <c r="E13" s="141">
        <v>0</v>
      </c>
      <c r="F13" s="141">
        <v>0.8</v>
      </c>
      <c r="G13" s="141">
        <v>0.8</v>
      </c>
      <c r="H13" s="141">
        <v>0.8</v>
      </c>
    </row>
    <row r="14" spans="1:9" x14ac:dyDescent="0.25">
      <c r="C14" s="52" t="s">
        <v>270</v>
      </c>
      <c r="D14" s="141">
        <v>0</v>
      </c>
      <c r="E14" s="141">
        <v>0</v>
      </c>
      <c r="F14" s="141">
        <v>0.85</v>
      </c>
      <c r="G14" s="141">
        <v>0.85</v>
      </c>
      <c r="H14" s="141">
        <v>0.85</v>
      </c>
      <c r="I14" s="36"/>
    </row>
    <row r="15" spans="1:9" x14ac:dyDescent="0.25">
      <c r="B15" s="52" t="s">
        <v>65</v>
      </c>
      <c r="C15" s="52" t="s">
        <v>268</v>
      </c>
      <c r="D15" s="141">
        <v>0</v>
      </c>
      <c r="E15" s="141">
        <v>0</v>
      </c>
      <c r="F15" s="141">
        <v>0.8</v>
      </c>
      <c r="G15" s="141">
        <v>0.8</v>
      </c>
      <c r="H15" s="141">
        <v>0.8</v>
      </c>
      <c r="I15" s="36"/>
    </row>
    <row r="16" spans="1:9" x14ac:dyDescent="0.25">
      <c r="C16" s="52" t="s">
        <v>270</v>
      </c>
      <c r="D16" s="141">
        <v>0</v>
      </c>
      <c r="E16" s="141">
        <v>0</v>
      </c>
      <c r="F16" s="141">
        <v>0.75</v>
      </c>
      <c r="G16" s="141">
        <v>0.75</v>
      </c>
      <c r="H16" s="141">
        <v>0.75</v>
      </c>
      <c r="I16" s="36"/>
    </row>
    <row r="17" spans="1:9" x14ac:dyDescent="0.25">
      <c r="A17" s="52" t="s">
        <v>62</v>
      </c>
      <c r="B17" s="52" t="s">
        <v>27</v>
      </c>
      <c r="C17" s="52" t="s">
        <v>268</v>
      </c>
      <c r="D17" s="141">
        <v>0.7</v>
      </c>
      <c r="E17" s="141">
        <v>0</v>
      </c>
      <c r="F17" s="141">
        <v>0</v>
      </c>
      <c r="G17" s="141">
        <v>0</v>
      </c>
      <c r="H17" s="141">
        <v>0</v>
      </c>
      <c r="I17" s="36"/>
    </row>
    <row r="18" spans="1:9" x14ac:dyDescent="0.25">
      <c r="C18" s="52" t="s">
        <v>269</v>
      </c>
      <c r="D18" s="141">
        <v>0.19</v>
      </c>
      <c r="E18" s="141">
        <v>0</v>
      </c>
      <c r="F18" s="141">
        <v>0</v>
      </c>
      <c r="G18" s="141">
        <v>0</v>
      </c>
      <c r="H18" s="141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268</v>
      </c>
      <c r="D19" s="141">
        <v>0.7</v>
      </c>
      <c r="E19" s="141">
        <v>0</v>
      </c>
      <c r="F19" s="141">
        <v>0</v>
      </c>
      <c r="G19" s="141">
        <v>0</v>
      </c>
      <c r="H19" s="141">
        <v>0</v>
      </c>
    </row>
    <row r="20" spans="1:9" x14ac:dyDescent="0.25">
      <c r="C20" s="52" t="s">
        <v>269</v>
      </c>
      <c r="D20" s="141">
        <v>0.19</v>
      </c>
      <c r="E20" s="141">
        <v>0</v>
      </c>
      <c r="F20" s="141">
        <v>0</v>
      </c>
      <c r="G20" s="141">
        <v>0</v>
      </c>
      <c r="H20" s="141">
        <v>0</v>
      </c>
    </row>
    <row r="21" spans="1:9" x14ac:dyDescent="0.25">
      <c r="A21" s="52" t="s">
        <v>64</v>
      </c>
      <c r="B21" s="52" t="s">
        <v>27</v>
      </c>
      <c r="C21" s="52" t="s">
        <v>268</v>
      </c>
      <c r="D21" s="141">
        <v>0.7</v>
      </c>
      <c r="E21" s="141">
        <v>0</v>
      </c>
      <c r="F21" s="141">
        <v>0</v>
      </c>
      <c r="G21" s="141">
        <v>0</v>
      </c>
      <c r="H21" s="141">
        <v>0</v>
      </c>
    </row>
    <row r="22" spans="1:9" x14ac:dyDescent="0.25">
      <c r="C22" s="52" t="s">
        <v>269</v>
      </c>
      <c r="D22" s="141">
        <v>0.19</v>
      </c>
      <c r="E22" s="141">
        <v>0</v>
      </c>
      <c r="F22" s="141">
        <v>0</v>
      </c>
      <c r="G22" s="141">
        <v>0</v>
      </c>
      <c r="H22" s="141">
        <v>0</v>
      </c>
    </row>
    <row r="23" spans="1:9" x14ac:dyDescent="0.25">
      <c r="A23" s="52" t="s">
        <v>79</v>
      </c>
      <c r="B23" s="52" t="s">
        <v>71</v>
      </c>
      <c r="C23" s="52" t="s">
        <v>268</v>
      </c>
      <c r="D23" s="141">
        <v>1</v>
      </c>
      <c r="E23" s="141">
        <v>1</v>
      </c>
      <c r="F23" s="141">
        <v>1</v>
      </c>
      <c r="G23" s="141">
        <v>1</v>
      </c>
      <c r="H23" s="141">
        <v>1</v>
      </c>
    </row>
    <row r="24" spans="1:9" x14ac:dyDescent="0.25">
      <c r="C24" s="52" t="s">
        <v>269</v>
      </c>
      <c r="D24" s="141">
        <v>0</v>
      </c>
      <c r="E24" s="141">
        <v>0</v>
      </c>
      <c r="F24" s="141">
        <v>0</v>
      </c>
      <c r="G24" s="141">
        <v>0</v>
      </c>
      <c r="H24" s="141">
        <v>0</v>
      </c>
    </row>
    <row r="25" spans="1:9" x14ac:dyDescent="0.25">
      <c r="C25" s="52" t="s">
        <v>270</v>
      </c>
      <c r="D25" s="141">
        <v>0</v>
      </c>
      <c r="E25" s="141">
        <v>0</v>
      </c>
      <c r="F25" s="141">
        <v>0</v>
      </c>
      <c r="G25" s="141">
        <v>0</v>
      </c>
      <c r="H25" s="141">
        <v>0</v>
      </c>
    </row>
    <row r="26" spans="1:9" x14ac:dyDescent="0.25">
      <c r="A26" s="52" t="s">
        <v>80</v>
      </c>
      <c r="B26" s="52" t="s">
        <v>71</v>
      </c>
      <c r="C26" s="52" t="s">
        <v>268</v>
      </c>
      <c r="D26" s="141">
        <v>1</v>
      </c>
      <c r="E26" s="141">
        <v>1</v>
      </c>
      <c r="F26" s="141">
        <v>1</v>
      </c>
      <c r="G26" s="141">
        <v>1</v>
      </c>
      <c r="H26" s="141">
        <v>1</v>
      </c>
    </row>
    <row r="27" spans="1:9" x14ac:dyDescent="0.25">
      <c r="C27" s="52" t="s">
        <v>269</v>
      </c>
      <c r="D27" s="141">
        <v>0</v>
      </c>
      <c r="E27" s="141">
        <v>0</v>
      </c>
      <c r="F27" s="141">
        <v>0</v>
      </c>
      <c r="G27" s="141">
        <v>0</v>
      </c>
      <c r="H27" s="141">
        <v>0</v>
      </c>
    </row>
    <row r="28" spans="1:9" x14ac:dyDescent="0.25">
      <c r="C28" s="52" t="s">
        <v>270</v>
      </c>
      <c r="D28" s="141">
        <v>0</v>
      </c>
      <c r="E28" s="141">
        <v>0</v>
      </c>
      <c r="F28" s="141">
        <v>0</v>
      </c>
      <c r="G28" s="141">
        <v>0</v>
      </c>
      <c r="H28" s="141">
        <v>0</v>
      </c>
    </row>
    <row r="29" spans="1:9" x14ac:dyDescent="0.25">
      <c r="A29" s="52" t="s">
        <v>81</v>
      </c>
      <c r="B29" s="52" t="s">
        <v>71</v>
      </c>
      <c r="C29" s="52" t="s">
        <v>268</v>
      </c>
      <c r="D29" s="141">
        <v>1</v>
      </c>
      <c r="E29" s="141">
        <v>1</v>
      </c>
      <c r="F29" s="141">
        <v>1</v>
      </c>
      <c r="G29" s="141">
        <v>1</v>
      </c>
      <c r="H29" s="141">
        <v>1</v>
      </c>
    </row>
    <row r="30" spans="1:9" x14ac:dyDescent="0.25">
      <c r="C30" s="52" t="s">
        <v>269</v>
      </c>
      <c r="D30" s="141">
        <v>0</v>
      </c>
      <c r="E30" s="141">
        <v>0</v>
      </c>
      <c r="F30" s="141">
        <v>0</v>
      </c>
      <c r="G30" s="141">
        <v>0</v>
      </c>
      <c r="H30" s="141">
        <v>0</v>
      </c>
    </row>
    <row r="31" spans="1:9" x14ac:dyDescent="0.25">
      <c r="C31" s="52" t="s">
        <v>270</v>
      </c>
      <c r="D31" s="141">
        <v>0</v>
      </c>
      <c r="E31" s="141">
        <v>0</v>
      </c>
      <c r="F31" s="141">
        <v>0</v>
      </c>
      <c r="G31" s="141">
        <v>0</v>
      </c>
      <c r="H31" s="141">
        <v>0</v>
      </c>
    </row>
    <row r="32" spans="1:9" x14ac:dyDescent="0.25">
      <c r="A32" s="52" t="s">
        <v>82</v>
      </c>
      <c r="B32" s="52" t="s">
        <v>71</v>
      </c>
      <c r="C32" s="52" t="s">
        <v>268</v>
      </c>
      <c r="D32" s="141">
        <v>1</v>
      </c>
      <c r="E32" s="141">
        <v>1</v>
      </c>
      <c r="F32" s="141">
        <v>1</v>
      </c>
      <c r="G32" s="141">
        <v>1</v>
      </c>
      <c r="H32" s="141">
        <v>1</v>
      </c>
    </row>
    <row r="33" spans="1:8" x14ac:dyDescent="0.25">
      <c r="C33" s="52" t="s">
        <v>269</v>
      </c>
      <c r="D33" s="141">
        <v>0</v>
      </c>
      <c r="E33" s="141">
        <v>0</v>
      </c>
      <c r="F33" s="141">
        <v>0</v>
      </c>
      <c r="G33" s="141">
        <v>0</v>
      </c>
      <c r="H33" s="141">
        <v>0</v>
      </c>
    </row>
    <row r="34" spans="1:8" x14ac:dyDescent="0.25">
      <c r="C34" s="52" t="s">
        <v>270</v>
      </c>
      <c r="D34" s="141">
        <v>0</v>
      </c>
      <c r="E34" s="141">
        <v>0</v>
      </c>
      <c r="F34" s="141">
        <v>0</v>
      </c>
      <c r="G34" s="141">
        <v>0</v>
      </c>
      <c r="H34" s="141">
        <v>0</v>
      </c>
    </row>
    <row r="35" spans="1:8" x14ac:dyDescent="0.25">
      <c r="A35" s="52" t="s">
        <v>83</v>
      </c>
      <c r="B35" s="52" t="s">
        <v>71</v>
      </c>
      <c r="C35" s="52" t="s">
        <v>268</v>
      </c>
      <c r="D35" s="141">
        <v>1</v>
      </c>
      <c r="E35" s="141">
        <v>1</v>
      </c>
      <c r="F35" s="141">
        <v>1</v>
      </c>
      <c r="G35" s="141">
        <v>1</v>
      </c>
      <c r="H35" s="141">
        <v>1</v>
      </c>
    </row>
    <row r="36" spans="1:8" x14ac:dyDescent="0.25">
      <c r="C36" s="52" t="s">
        <v>269</v>
      </c>
      <c r="D36" s="141">
        <v>0</v>
      </c>
      <c r="E36" s="141">
        <v>0</v>
      </c>
      <c r="F36" s="141">
        <v>0</v>
      </c>
      <c r="G36" s="141">
        <v>0</v>
      </c>
      <c r="H36" s="141">
        <v>0</v>
      </c>
    </row>
    <row r="37" spans="1:8" x14ac:dyDescent="0.25">
      <c r="C37" s="52" t="s">
        <v>270</v>
      </c>
      <c r="D37" s="141">
        <v>0</v>
      </c>
      <c r="E37" s="141">
        <v>0</v>
      </c>
      <c r="F37" s="141">
        <v>0</v>
      </c>
      <c r="G37" s="141">
        <v>0</v>
      </c>
      <c r="H37" s="141">
        <v>0</v>
      </c>
    </row>
    <row r="38" spans="1:8" x14ac:dyDescent="0.25">
      <c r="A38" s="52" t="s">
        <v>60</v>
      </c>
      <c r="B38" s="52" t="s">
        <v>71</v>
      </c>
      <c r="C38" s="52" t="s">
        <v>268</v>
      </c>
      <c r="D38" s="141">
        <v>0.3</v>
      </c>
      <c r="E38" s="141">
        <v>0.3</v>
      </c>
      <c r="F38" s="141">
        <v>0.3</v>
      </c>
      <c r="G38" s="141">
        <v>0.3</v>
      </c>
      <c r="H38" s="141">
        <v>0.3</v>
      </c>
    </row>
    <row r="39" spans="1:8" x14ac:dyDescent="0.25">
      <c r="C39" s="52" t="s">
        <v>269</v>
      </c>
      <c r="D39" s="141">
        <v>0.5</v>
      </c>
      <c r="E39" s="141">
        <v>0.5</v>
      </c>
      <c r="F39" s="141">
        <v>0.5</v>
      </c>
      <c r="G39" s="141">
        <v>0.5</v>
      </c>
      <c r="H39" s="141">
        <v>0.5</v>
      </c>
    </row>
    <row r="40" spans="1:8" x14ac:dyDescent="0.25">
      <c r="C40" s="52" t="s">
        <v>270</v>
      </c>
      <c r="D40" s="141">
        <v>0.65</v>
      </c>
      <c r="E40" s="141">
        <v>0.65</v>
      </c>
      <c r="F40" s="141">
        <v>0.65</v>
      </c>
      <c r="G40" s="141">
        <v>0.65</v>
      </c>
      <c r="H40" s="141">
        <v>0.65</v>
      </c>
    </row>
    <row r="41" spans="1:8" x14ac:dyDescent="0.25">
      <c r="B41" s="52" t="s">
        <v>16</v>
      </c>
      <c r="C41" s="52" t="s">
        <v>268</v>
      </c>
      <c r="D41" s="141">
        <v>0.3</v>
      </c>
      <c r="E41" s="141">
        <v>0.3</v>
      </c>
      <c r="F41" s="141">
        <v>0.3</v>
      </c>
      <c r="G41" s="141">
        <v>0.3</v>
      </c>
      <c r="H41" s="141">
        <v>0.3</v>
      </c>
    </row>
    <row r="42" spans="1:8" x14ac:dyDescent="0.25">
      <c r="C42" s="52" t="s">
        <v>269</v>
      </c>
      <c r="D42" s="141">
        <v>0.5</v>
      </c>
      <c r="E42" s="141">
        <v>0.5</v>
      </c>
      <c r="F42" s="141">
        <v>0.5</v>
      </c>
      <c r="G42" s="141">
        <v>0.5</v>
      </c>
      <c r="H42" s="141">
        <v>0.5</v>
      </c>
    </row>
    <row r="43" spans="1:8" x14ac:dyDescent="0.25">
      <c r="C43" s="52" t="s">
        <v>270</v>
      </c>
      <c r="D43" s="141">
        <v>0.63</v>
      </c>
      <c r="E43" s="141">
        <v>0.63</v>
      </c>
      <c r="F43" s="141">
        <v>0.63</v>
      </c>
      <c r="G43" s="141">
        <v>0.63</v>
      </c>
      <c r="H43" s="141">
        <v>0.63</v>
      </c>
    </row>
    <row r="44" spans="1:8" x14ac:dyDescent="0.25">
      <c r="A44" s="52" t="s">
        <v>84</v>
      </c>
      <c r="B44" s="52" t="s">
        <v>71</v>
      </c>
      <c r="C44" s="52" t="s">
        <v>268</v>
      </c>
      <c r="D44" s="141">
        <v>0.88</v>
      </c>
      <c r="E44" s="141">
        <v>0.88</v>
      </c>
      <c r="F44" s="141">
        <v>0.88</v>
      </c>
      <c r="G44" s="141">
        <v>0.88</v>
      </c>
      <c r="H44" s="141">
        <v>0.88</v>
      </c>
    </row>
    <row r="45" spans="1:8" x14ac:dyDescent="0.25">
      <c r="C45" s="52" t="s">
        <v>269</v>
      </c>
      <c r="D45" s="141">
        <v>0.8</v>
      </c>
      <c r="E45" s="141">
        <v>0.8</v>
      </c>
      <c r="F45" s="141">
        <v>0.8</v>
      </c>
      <c r="G45" s="141">
        <v>0.8</v>
      </c>
      <c r="H45" s="141">
        <v>0.8</v>
      </c>
    </row>
    <row r="46" spans="1:8" x14ac:dyDescent="0.25">
      <c r="A46" s="52" t="s">
        <v>85</v>
      </c>
      <c r="B46" s="52" t="s">
        <v>71</v>
      </c>
      <c r="C46" s="52" t="s">
        <v>268</v>
      </c>
      <c r="D46" s="141">
        <v>1</v>
      </c>
      <c r="E46" s="141">
        <v>1</v>
      </c>
      <c r="F46" s="141">
        <v>1</v>
      </c>
      <c r="G46" s="141">
        <v>1</v>
      </c>
      <c r="H46" s="141">
        <v>1</v>
      </c>
    </row>
    <row r="47" spans="1:8" x14ac:dyDescent="0.25">
      <c r="C47" s="52" t="s">
        <v>269</v>
      </c>
      <c r="D47" s="141">
        <v>0.76</v>
      </c>
      <c r="E47" s="141">
        <v>0.76</v>
      </c>
      <c r="F47" s="141">
        <v>0.76</v>
      </c>
      <c r="G47" s="141">
        <v>0.76</v>
      </c>
      <c r="H47" s="141">
        <v>0.76</v>
      </c>
    </row>
    <row r="48" spans="1:8" x14ac:dyDescent="0.25">
      <c r="A48" s="52" t="s">
        <v>196</v>
      </c>
      <c r="B48" s="52" t="s">
        <v>13</v>
      </c>
      <c r="C48" s="52" t="s">
        <v>268</v>
      </c>
      <c r="D48" s="141">
        <v>0.57999999999999996</v>
      </c>
      <c r="E48" s="141">
        <v>0</v>
      </c>
      <c r="F48" s="141">
        <v>0</v>
      </c>
      <c r="G48" s="141">
        <v>0</v>
      </c>
      <c r="H48" s="141">
        <v>0</v>
      </c>
    </row>
    <row r="49" spans="3:8" x14ac:dyDescent="0.25">
      <c r="C49" s="52" t="s">
        <v>269</v>
      </c>
      <c r="D49" s="141">
        <v>0.88</v>
      </c>
      <c r="E49" s="141">
        <v>0</v>
      </c>
      <c r="F49" s="141">
        <v>0</v>
      </c>
      <c r="G49" s="141">
        <v>0</v>
      </c>
      <c r="H49" s="14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topLeftCell="C1" workbookViewId="0">
      <selection activeCell="D7" sqref="D7:G7"/>
    </sheetView>
  </sheetViews>
  <sheetFormatPr defaultColWidth="12.7265625" defaultRowHeight="12.5" x14ac:dyDescent="0.25"/>
  <cols>
    <col min="1" max="1" width="28" style="35" customWidth="1"/>
    <col min="2" max="2" width="27.453125" style="35" customWidth="1"/>
    <col min="3" max="3" width="23.7265625" style="35" customWidth="1"/>
    <col min="4" max="7" width="17.26953125" style="35" customWidth="1"/>
    <col min="8" max="16384" width="12.7265625" style="35"/>
  </cols>
  <sheetData>
    <row r="1" spans="1:8" ht="13" x14ac:dyDescent="0.3">
      <c r="A1" s="124" t="s">
        <v>69</v>
      </c>
      <c r="B1" s="124" t="s">
        <v>266</v>
      </c>
      <c r="C1" s="124"/>
      <c r="D1" s="40" t="s">
        <v>53</v>
      </c>
      <c r="E1" s="40" t="s">
        <v>54</v>
      </c>
      <c r="F1" s="40" t="s">
        <v>55</v>
      </c>
      <c r="G1" s="40" t="s">
        <v>56</v>
      </c>
      <c r="H1" s="99"/>
    </row>
    <row r="2" spans="1:8" x14ac:dyDescent="0.25">
      <c r="A2" s="43" t="s">
        <v>86</v>
      </c>
      <c r="B2" s="35" t="s">
        <v>41</v>
      </c>
      <c r="C2" s="43" t="s">
        <v>268</v>
      </c>
      <c r="D2" s="141">
        <v>1</v>
      </c>
      <c r="E2" s="141">
        <v>1</v>
      </c>
      <c r="F2" s="141">
        <v>1</v>
      </c>
      <c r="G2" s="141">
        <v>1</v>
      </c>
      <c r="H2" s="95"/>
    </row>
    <row r="3" spans="1:8" x14ac:dyDescent="0.25">
      <c r="C3" s="35" t="s">
        <v>269</v>
      </c>
      <c r="D3" s="141">
        <v>0.2</v>
      </c>
      <c r="E3" s="141">
        <v>0.2</v>
      </c>
      <c r="F3" s="141">
        <v>0.2</v>
      </c>
      <c r="G3" s="141">
        <v>0.2</v>
      </c>
      <c r="H3" s="133"/>
    </row>
    <row r="4" spans="1:8" x14ac:dyDescent="0.25">
      <c r="A4" s="43" t="s">
        <v>87</v>
      </c>
      <c r="B4" s="35" t="s">
        <v>41</v>
      </c>
      <c r="C4" s="43" t="s">
        <v>268</v>
      </c>
      <c r="D4" s="141">
        <v>1</v>
      </c>
      <c r="E4" s="141">
        <v>1</v>
      </c>
      <c r="F4" s="141">
        <v>1</v>
      </c>
      <c r="G4" s="141">
        <v>1</v>
      </c>
      <c r="H4" s="133"/>
    </row>
    <row r="5" spans="1:8" x14ac:dyDescent="0.25">
      <c r="A5" s="36"/>
      <c r="C5" s="35" t="s">
        <v>269</v>
      </c>
      <c r="D5" s="141">
        <v>0.59</v>
      </c>
      <c r="E5" s="141">
        <v>0.59</v>
      </c>
      <c r="F5" s="141">
        <v>0.59</v>
      </c>
      <c r="G5" s="141">
        <v>0.59</v>
      </c>
      <c r="H5" s="95"/>
    </row>
    <row r="6" spans="1:8" x14ac:dyDescent="0.25">
      <c r="A6" s="43" t="s">
        <v>88</v>
      </c>
      <c r="B6" s="35" t="s">
        <v>41</v>
      </c>
      <c r="C6" s="43" t="s">
        <v>268</v>
      </c>
      <c r="D6" s="141">
        <v>1</v>
      </c>
      <c r="E6" s="141">
        <v>1</v>
      </c>
      <c r="F6" s="141">
        <v>1</v>
      </c>
      <c r="G6" s="141">
        <v>1</v>
      </c>
      <c r="H6" s="95"/>
    </row>
    <row r="7" spans="1:8" x14ac:dyDescent="0.25">
      <c r="A7" s="36"/>
      <c r="C7" s="35" t="s">
        <v>269</v>
      </c>
      <c r="D7" s="141">
        <v>0.59</v>
      </c>
      <c r="E7" s="141">
        <v>0.59</v>
      </c>
      <c r="F7" s="141">
        <v>0.59</v>
      </c>
      <c r="G7" s="141">
        <v>0.59</v>
      </c>
      <c r="H7" s="133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target population</vt:lpstr>
      <vt:lpstr>Programs cost and coverage</vt:lpstr>
      <vt:lpstr>IYCF cost</vt:lpstr>
      <vt:lpstr>Program dependencies</vt:lpstr>
      <vt:lpstr>Reference programs</vt:lpstr>
      <vt:lpstr>Incidence of conditions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 Delport</cp:lastModifiedBy>
  <dcterms:created xsi:type="dcterms:W3CDTF">2017-08-01T10:42:13Z</dcterms:created>
  <dcterms:modified xsi:type="dcterms:W3CDTF">2020-03-24T06:51:03Z</dcterms:modified>
</cp:coreProperties>
</file>