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2F34FF5-B41A-42DF-9E0D-0CABF53A618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20" i="2"/>
  <c r="I16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3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5F2B2100-EA4D-4546-BEAF-C30D6866A0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9721083-7A3D-437F-926D-D236340CC56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BB039AA4-2BB8-47C3-8A40-37DE8206704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B684E46-3D14-47A2-906F-F24C0B8BDFCE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8BD385CE-0DEB-4282-B57D-D80358AF7B9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9E7DF04D-1151-4441-9939-FCFDEC041C3C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0D53840-25A9-48F3-9B6D-D3AB2BCC771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AB93433-8BA7-43F1-A547-5ED6171298C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72FD6DAB-3F34-4B82-8C50-79CF7BF8670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6A05C381-AAF8-4B1B-BF2B-4802B09138B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14742F2-E3FE-4EE0-AAA1-2621AE2F8DB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C657B839-DEB4-4E7E-8C6A-F04D919151D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12F9C2A4-2F77-4CE0-9A76-E9D1CE61A6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C6B63C9B-781C-42AC-903B-9D6460D1B5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F6C7898F-F320-4B17-9631-F7AB9E1CDA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E0B22F4-DDB1-4259-B52B-5E783154024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5D0C32C-D1AB-4F15-8DE0-25C24A62A5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0E9A984-833E-4468-A3D3-4D56DA1656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079DFAE-5DD3-4376-84AB-F11B874F4D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2FCC384-E1DE-4C3C-91E8-9B0A8F88F1B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983F1C5E-9857-438B-867B-B320EF98830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3A307C9D-3C67-44EC-A8B0-D43713437A6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216FDBA4-4CC9-4B87-B029-B67F01F3ED06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39D6C9E-C2FD-42B3-9961-A66EDA1E94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0301F804-8ABF-4E19-B968-543698A39A50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4554CC00-29E5-4076-8910-54AA10BFB2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E9B80360-8100-475A-8C92-8E8095626D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1D6CE698-1EC3-4546-BA02-5FD6F4BE164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66E3205-A54C-4757-A610-087D9AD928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82417156-B987-4012-A1F4-FCDBB73F7B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6DB1856B-5003-4BEE-A7E2-181057C10A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E1C86F79-78F1-4290-991A-BE9875291F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C4BA803A-0139-4A1E-B7A7-F15DA4A15E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297787E2-E7D6-42C6-B2D4-185E3BAEB86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099397A1-96A6-4F82-8139-B9244BCBDAE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D26A6BA-A137-4011-BA4E-674622E217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801FED3C-4E95-48BE-A5E0-A536F9CD9A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E0D8A10-E149-4407-8E8D-BE0D82A454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E00B8DB4-8B7D-4202-9902-8B71D3A1F5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141A2CA0-7AD5-423F-9DAE-F477C76D65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1F0E7A9-63D9-467C-8E69-AF57F69C26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9B9A587-4958-49D7-B378-0D684A6AE1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C8BBBE27-AF45-4208-B46C-3E7A7280CA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43E59BBD-F44B-42FF-894B-9156A195B1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BB8002B6-87DD-4125-B724-BE175A370F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79CBF75-0751-482C-80D0-4CF1FAE889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A37EC4BB-4164-4E3C-8E06-4AB7EAC393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38396EC5-5670-4728-93C9-6F41C50249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2BB29B70-B130-47CD-B6D5-F560C1F937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EC2368E2-B597-45BC-A852-99AC3414E0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C4C24E32-D7E6-4DF8-94F3-388D955CDF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E657FBF2-1D02-4655-8594-A904C729B1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1FEC51F-3DD2-4FF2-A4ED-A461F26CA1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AA374FF0-B244-4C69-9B2A-2D16B94F30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7963F4E3-35C0-41F8-ABD5-3DFB198F34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2C622AEA-FA0D-4138-B70E-EBE0CD5B77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A4F3822-85BC-4F0E-BCFF-0D2ED1552E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82220E2B-9240-482D-B9F2-1482DB6D81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41B9BA0-4777-46F6-8BE2-3011E91810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2A8EA510-9336-4DC4-AA5C-00AF25BEF6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FBF43C51-9E04-4C05-808C-00EB6CEC56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3664E31-527B-464A-BBC8-EB1390167A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06A5D85-9095-4D7F-9926-7EB0753481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81DEECB-6D8F-4CFB-AFEB-297741B6F3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F6C5F6E2-3DAD-4913-9A13-F7E164AA1C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0A74BF1-E1C8-4B23-B7A6-1289388D73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1205AB9-F0BC-43D3-BEC9-7F233CA945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3DE90BE1-BA92-4B58-BA77-22DB025292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D0F00925-22BC-463C-96B5-1F528E63EB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0D8C1D2-856B-4A3E-89B0-EFA24BB4B5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B66AA1A5-29A8-4E5D-AC22-393AE43187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D61EECE9-7F60-4C66-999C-26C654B4D6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CC2D2EB4-2CB2-4293-9ACA-574CC672A0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ED1F4039-6AA9-4C5D-A9A1-996DA582A8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C891933-C073-4559-8C14-3BB4E390AE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A419187-896B-4EE9-9B09-A4825DE714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35C711B-9B80-4A98-8BEE-5661B41D5D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8AB6A41F-6266-4F19-A113-F1F9C47144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5308E64-C1F9-48FE-A0AA-018FB7519D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05679491-81C5-4FD4-9076-FFFBFB95BE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A4265BC7-3658-4D3C-94FE-EE9021DC1F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6356248C-BE6F-404B-8F48-A559A21024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6CB2006-925A-4F19-9769-8D8FDFADCB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F167B35-A3DA-4472-A135-9DC67BFB1F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98030095-6746-4F22-AD56-64A4323431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88A0BD6-1817-4D8C-A3AF-02A2A3786E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0514CB3C-4ED8-457E-9FCD-2F0CC95900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471633A-F737-4A20-92AB-C5ABF8907E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00D94B55-7C43-4A55-9BD0-ACC28D4141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BAC1BD5-05AC-4FB0-AE69-940EC2D2BF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A018DE55-072F-4153-8D55-6C5382DE82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49BDA2A5-47FF-4A51-81A8-5BC4732E92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ED32585-B8E7-4867-A00B-E9EE2967B7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42DA729D-AA9D-4EF4-9CBD-F3B8E0D8BF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E9A7BDC-0697-4D1A-9A6F-A87566BAF4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FBBA09A2-B7F4-4DDF-AFBD-919D781CFE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4F71A31C-359F-410E-9994-55D1A2652D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94EBB2CE-F14F-4842-99D6-D84A918E97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E1CE7064-3C97-46A9-90FB-6AE5D78A31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3482FA1A-9878-4AD2-8CCC-873AE81CA3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2D2A7301-3205-447D-993D-E7ED761182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344225B-D3E1-4748-988B-F56C67ECE3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B574FA9-8294-4A0A-B495-389D3582CA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3A6D3BE-BD57-44F2-89DB-F51FA5DFDD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F098D54-1877-466E-A0C9-16D7527E1C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E3EC5C0A-C767-45DC-B6F6-EE40D37282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53944D4-F8E4-443B-B6CA-E8D5E29F3D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82C114D4-CC14-4D4E-AF10-546CBCFE83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8F2FDE6-10B4-4482-851F-703300360F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B678E828-6359-4ABA-AF33-9CFDEC990F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624DE4FA-9227-4FBF-A639-2CA29892ED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6AE6EB6A-85F0-4C71-8865-879A9AA93A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9C22B140-3082-4890-9609-1C4468C139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B114F3F6-2552-4184-B0CA-5110A0BAF2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A149758E-0CD1-4D8E-909D-A1A55E08AD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80E8A8E-D404-4726-AC0E-24C41D1A84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2D8F0B9E-75B3-4D9E-BF8D-9C0C956876C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683AF5C-0F4A-46CE-99D8-F990891CEF4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C893863-648F-4CD0-9FC7-D1FA39934D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5E25125A-6A63-4B45-9D7A-A71142CF0D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05AFE78B-8107-492C-A47B-763873B7CAC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2DA2CD10-A29E-470D-9F87-A0AA5BB8A2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32219E89-1B78-4ED0-893A-A9540194CE5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E34928D-C82C-41CC-834B-D13663F8CAB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D64BEAE-1D32-4F9D-9427-E1B37501D1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1C1AB1D-9879-4B38-9831-B2397D2A569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E853BA5-7329-42AB-B1DB-20F53A8816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95887479-6E73-4855-BB20-76C0989988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67963956-F86D-4DA8-9712-46255388A9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372A35D-16D9-4B21-B79C-3D8C45960C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3939B36-7A88-409F-88A8-57CE6940251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2EC4F83-E430-4CDA-856C-76431644019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772114E1-7AD9-4C63-84F7-5B00A2F4C1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779C88AD-9D7E-40B9-A149-EBD6139C2EA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30ADC45-B0C7-4959-8568-20594509F0F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B330918-1AB9-41EE-824E-974C869D29D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C5185EAD-940D-4753-9D37-167A8380D9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D08B8F6-EABF-4601-A8AA-4D820D88AF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33663901-8003-4CC0-8A29-95E5D7CABF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3F51388-3635-432B-B082-93457DE828B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2FF35B50-CC43-4A38-9014-966DB4849A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DD1A0B86-6CC7-488C-A02D-CB50B189E8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03EECAE-6130-4AC9-8D3C-B4C6D0DC83C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76B13E4C-E47C-471D-88A8-D0AB44CBFF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755B28F-BFDD-424A-810F-39E34C56B1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6D3B9570-853D-4D3A-B270-B23623432C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5D3DF542-71FB-470E-9048-2DBAD83DDC4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433303D-BD46-495A-B06B-A31521D253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EE43450-3B9C-4CA4-9F64-5939759613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5B79C05-7272-4591-BF19-806C8E79CE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3183DD55-D8B1-48C7-8827-E2E823C35C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39CB74FC-24D5-48B4-B9EB-2BC34FD01D6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CEB7C76-43F1-4475-AE26-30018273A0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FAAE1A3-1B8A-4DAE-A9D5-E091F638F7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42BCFC3-7512-42D3-AE20-8A06EC6261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576AAE8-1493-4B85-9001-89C0DD66C5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89ED82D6-4BA7-47AC-B1C8-6E53CDD4926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44166EB-B425-446D-BD45-4C59011A03D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15138B8-9FB5-4ED4-B312-208836E092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99C7A2BA-AD2F-478C-9B8F-66F18BE1EA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5A14DD8-4FBC-4257-90F5-27BE99C8A4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AF6DB1D-B60B-4B6C-A997-99C9AF4A19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54EE25B7-C3C6-4AE6-B163-0651DB8CE3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B9FCD8B2-6527-4159-BDFC-A4CB490F91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1C2A89B-E3EA-41D5-B4B9-77F2C4F07E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2DD9235-18D5-497D-BA80-03870486F0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684F627A-0937-47F7-9C7B-7C6B7B5297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593A9DE-48C3-4D7B-88F6-A9B9403CE4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CA279423-099B-4DAF-98F0-6BCACAC7D6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6D133C84-7DDA-487F-AD24-7B9B7CF4BB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1474088D-1841-4EFD-AEA8-3FB37189DD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373CA6F-D44B-4F2F-B5E6-766D439380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50B89F0-CAE3-4FF1-9C52-4EF61BEA48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83116085-CBF6-4A5B-9A89-90139014CB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67DBF428-805E-4159-B775-478F1B0384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4D70710-B466-4891-BE24-3145E46BE9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4A9C9B0-4B6A-4D31-9E60-489E3EF950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FDC51170-F7A0-4FB5-87C2-88660619A3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7090812-DDE3-4926-9EAF-391820338F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549B2D66-6774-4EF9-85E1-1589B655FB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7DCD88A1-AA49-4E2A-9BAE-CBA9D5EA07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A8879AC-E390-4815-9063-2C304D549C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EA2B7A0-7DED-4477-9686-382A2AFAE7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BD9B26A4-44BC-4857-B966-F6D138264A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E5A88757-1908-412C-AF39-284D36DF6D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48921E5E-9B26-4E07-AC88-8C04947AC6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36B4EA0B-17EE-496F-A3F6-156FC8F016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63B831E1-6185-4151-B152-DA25879FC8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11938253-38C2-4E34-971D-5A246430E49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83AF7530-CD1B-4526-8B67-49E7542A30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618F47C-CCC6-4F7A-B1C1-3765563039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3F1E61F4-FEBF-44CB-B4E8-834340F0C6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C253C128-54A4-4AF3-A21D-E03D16B560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39953DE3-79A9-49FC-8F1A-93040571D4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94BE9480-4D31-4CBD-A7E9-86EA9FA43D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D567C39-B14F-4A59-B63B-BB34366B4D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5095ECD6-D843-4CC7-873F-0B1399D7F6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9BFA79D-7B6F-43E0-8C1B-27152FDFD6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4A649383-2691-43AF-B674-E5A6A2B82A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C37EF7E3-C15C-47C7-85F5-4F785AB350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3D304D0-F27B-460F-91E5-EFB0D62D14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CF71A50-1829-43D3-A547-3FA10D14484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BFF41389-E725-4A80-B132-250D6BDC20C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30646F65-AF33-49C3-8410-D6115E6E353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B2253A5D-5615-4B88-8FAC-AA236D2DCDF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6B8912BE-2AEF-486F-B9A1-71267833D18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844AF84C-76AC-4EAE-A9FA-AC567234908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6FD86E48-47B1-4BF8-9DED-0F60DB5BC3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905FE540-DEB1-46B3-A163-83D3075769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9D9974F-9688-418F-9220-DF5C79B214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7CD099D9-5723-46D7-B41D-C74CF4674A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C175F8DE-39B0-4D3D-831B-B0B7BC4CCF8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4183FAE5-07B8-42AC-93F1-C0C2C7AD1B2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C508055-3030-4DFE-A647-C9CCA77AA21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7366058-6974-4678-80B9-0A91CFA2BAA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14119EE-4BE0-46CC-8196-8E6CCBE5EDE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4DF40043-AF45-4BFF-A254-6FA27244E0E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2BDD49B7-51D8-427F-B27B-314BC49F77B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985D71DE-0585-4073-84D7-5B4F0EC28FF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40F5BBD-070F-4F07-86DA-69372FDF47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9CFFD98D-729F-45BC-A329-532F039331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70C15396-36EE-4A05-8585-21020DDE50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E3CBB93D-4DA7-424B-853A-4F900A41DA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312DC779-879B-437E-98C3-5ED48A7970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F43AD3C6-F072-4B91-B0EA-1DFE190941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70A13CF4-6869-45C1-B43A-2185F44BC4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20925077-A2CA-47BB-9E90-E42287933C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2796A11-7DCE-49CC-8755-D2B447C349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991A2733-2B98-4E80-914B-6376BA4C7F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FCFA5F9-A99F-4AE3-B3EB-D5215D1F56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ECA8BB1C-07CC-4E3D-81D9-39E432C2D3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0B5E232-F197-47E6-92C9-00D8136746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8BF32A0C-A218-410A-91DE-5AED3C4C11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A790F73-80E7-485F-88EF-16914DF31A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4C74B633-08B8-4F20-AB89-89435C7B16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5A2F59E-8D63-430A-9C97-4BA24D0212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5EDED3CC-945E-476D-9D25-4BB7F554D1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89591FA-8BB2-42E9-99D3-56B808A291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263A331-CEA4-42C8-86DC-3F7F3DC2CC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18C0103-D642-4B63-B993-3AC30E4C5B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D9EA9F5E-CD07-4F7D-81E7-33FF555B4A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FE22CDF8-4B48-4820-9DA4-099E33B166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7C024F4-144F-48A1-BB62-225C86A6EE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93FA040-255A-4A27-A66D-985EA9D391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5AA73D4-0CC1-41B1-B17D-89A3CD5884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711D02A-1ECE-48AA-81DA-C8C4FE2B69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056F392-4D6C-4911-AC8C-862CB4EEEF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21FB3B5A-8B0E-440B-91A9-EAF9EEBF47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9A5042DB-A841-498D-AFCA-3D6D0F9F30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78228B39-6C65-49B6-BBAD-8419DEBA8E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94C808A9-9303-453E-9079-96638A9F4F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A93F475-BD4F-403B-A2EB-2243345944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D1479AAC-0B57-4300-8865-0ED0FFD3E0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32CE3DCC-FBBC-4AE3-A25E-17BAAFD6D8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E827088D-2454-4CA3-8310-B73501A60C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DFFCD96-CE08-45EB-84E9-109DCE774F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76A0D8D-5A77-4D16-92F5-3825046FF5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7711231-E5A1-4F34-A90B-398BAAE34D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7B68637-BBAD-4AFD-9274-6E6757EFCA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A7B1A842-C3AA-4D1E-A0F8-3960FBB089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466ECBC-69F3-488F-A468-5D617A663D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4F8BBD5-2ECD-4EB9-8F13-2587DE18353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F4FF1406-4527-46DF-A9CB-868EDDFFAB5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29217C46-260E-4009-8981-337CCC51D62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0F1D6A4-D01F-4484-AFA7-95D1F9598BF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D1286A1A-E1D5-48E6-ABF3-B72A08CDCFC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097C3E58-5E82-45FA-B59C-810CF43E7DF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7BEC95B-821D-42EE-A8C0-83A5BBC1D1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40EF46D-2B91-4BDB-941A-EFE1807C0D1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0C36E42-885C-4DF7-9701-41C27069B14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CC6DE076-C481-4C56-9102-D894793ED00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403DC82-A6F6-41E1-96D2-C97509A5817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57EB3AAB-1432-4663-A9DF-69600AEEFAC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CA07D07B-8C0B-4305-B5BC-2429426303F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4F5E80C-89F8-4AD1-9EEA-EF8A0E08B14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430DA6E-AE7C-43DC-BA2C-D4761366BEB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8200BE7D-32B9-4F9C-A52C-0EA448D1907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497693D4-38B2-4F8E-9FF2-DE6C652BB01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F4384EC2-DDCE-4DC2-BF87-BACB28021BD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A8392DF2-AA62-4C0F-9794-7A037245C2D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FCB81F3A-6ED8-4BEA-83B4-9064A738495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240A222D-2FD8-49E4-B8E5-D4E79BD79D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47C47B58-E96C-474D-BB8C-D75399338B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0050249-0111-431C-81E2-D52621849C3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A7DED18A-BBC2-40D6-B0E2-30D98F5E685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752EB8C-B668-4894-9CCA-731A9478982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5A05BEFB-1EDD-4428-AE7B-BEF1C4DD781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AB2B7B5-F7BA-4C42-AFEC-0F805A28D760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AFA2F36-FB34-4161-AB02-8A70D86BA583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80C5E6AB-9808-466C-9195-D25C44276DA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DE7FFCCF-C3F6-4473-8989-050E10671E9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FB96229D-6F7B-4834-BEB6-9BF297A4615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A8050455-CA58-474C-ADAC-CD018E6879B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FC218D0B-40D7-4E0F-B27A-045C23BDF9D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5937BCD3-24AE-4DDD-9A22-D5C82DE79CA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481AE8C-C21A-457C-BEE9-AF705FC9485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7F42E06-D21D-401D-BC9B-22BF98B766B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6F0441B-8F5A-4B27-8420-65CC8F90A49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56DA414-D3D1-4F02-9EED-A9DC30A9968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98E7744F-6EEE-4A77-A9F1-A1432D52193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D0A5319-3135-44C8-85D4-DB5A7ADCDD0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06F8FA0-73B9-4167-9A0F-AB07DC0878C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04A0AB2-A819-4FF8-8A90-A48289E330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EE0D6A34-406E-4426-BA93-71574038686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17907239-B944-4C1C-AAB6-726F0E63E99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14CBA1C8-C143-4D12-8644-D5B443FD4A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54DBAC7D-67E9-47A4-83D0-F23BF55FF9A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3ECFE8F8-1EBB-4315-A454-C34F9DA1CE0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265142E-91EA-4351-A54C-7A998414B0A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2BF64CD9-B46C-4DF9-A6F6-FF390E952BC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F4D4709F-E7A7-4F13-BC67-3442F2BD949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C1CBEAC9-0BE9-486B-8C01-2F6CF47A621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48A10080-4C01-4129-B64B-3334F665CF2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01087567-ECE6-447D-88DF-47397559747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617E6A23-0038-4D85-B560-8195BA959E3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8BBC0004-ADEE-41C2-BBFD-B28FB40EB58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46F9EC05-E3BA-4226-87F0-8BB0BC68CD5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1409056-79A3-485B-B0FC-944C920AEE3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CA2ABD8E-9B2B-4FAF-A05C-6E67A3542B8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1A7566B-A3F7-425B-B82D-E2F0A941E94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F5C3C3B-12DF-4A19-B1C7-DBAFA9BF9F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5870D0C0-9422-4F5C-9D1E-2ABFC742BBE5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10A07129-6848-4018-AB72-BC251820BD5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<sst xmlns="http://schemas.openxmlformats.org/spreadsheetml/2006/main" count="1102" uniqueCount="271">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</sst>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2888526</v>
      </c>
    </row>
    <row r="8" spans="1:3" ht="15" customHeight="1" x14ac:dyDescent="0.25">
      <c r="B8" s="7" t="s">
        <v>106</v>
      </c>
      <c r="C8" s="70">
        <v>0.54400000000000004</v>
      </c>
    </row>
    <row r="9" spans="1:3" ht="15" customHeight="1" x14ac:dyDescent="0.25">
      <c r="B9" s="9" t="s">
        <v>107</v>
      </c>
      <c r="C9" s="71">
        <v>0.83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0.55500000000000005</v>
      </c>
    </row>
    <row r="12" spans="1:3" ht="15" customHeight="1" x14ac:dyDescent="0.25">
      <c r="B12" s="7" t="s">
        <v>109</v>
      </c>
      <c r="C12" s="70">
        <v>0.69700000000000006</v>
      </c>
    </row>
    <row r="13" spans="1:3" ht="15" customHeight="1" x14ac:dyDescent="0.25">
      <c r="B13" s="7" t="s">
        <v>110</v>
      </c>
      <c r="C13" s="70">
        <v>0.36200000000000004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9.5700000000000007E-2</v>
      </c>
    </row>
    <row r="24" spans="1:3" ht="15" customHeight="1" x14ac:dyDescent="0.25">
      <c r="B24" s="20" t="s">
        <v>102</v>
      </c>
      <c r="C24" s="71">
        <v>0.50319999999999998</v>
      </c>
    </row>
    <row r="25" spans="1:3" ht="15" customHeight="1" x14ac:dyDescent="0.25">
      <c r="B25" s="20" t="s">
        <v>103</v>
      </c>
      <c r="C25" s="71">
        <v>0.32230000000000003</v>
      </c>
    </row>
    <row r="26" spans="1:3" ht="15" customHeight="1" x14ac:dyDescent="0.25">
      <c r="B26" s="20" t="s">
        <v>104</v>
      </c>
      <c r="C26" s="71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0.11199999999999999</v>
      </c>
    </row>
    <row r="32" spans="1:3" ht="14.25" customHeight="1" x14ac:dyDescent="0.25">
      <c r="B32" s="30" t="s">
        <v>78</v>
      </c>
      <c r="C32" s="73">
        <v>0.64800000000000002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22.2</v>
      </c>
    </row>
    <row r="38" spans="1:5" ht="15" customHeight="1" x14ac:dyDescent="0.25">
      <c r="B38" s="16" t="s">
        <v>91</v>
      </c>
      <c r="C38" s="75">
        <v>41.5</v>
      </c>
      <c r="D38" s="17"/>
      <c r="E38" s="18"/>
    </row>
    <row r="39" spans="1:5" ht="15" customHeight="1" x14ac:dyDescent="0.25">
      <c r="B39" s="16" t="s">
        <v>90</v>
      </c>
      <c r="C39" s="75">
        <v>60</v>
      </c>
      <c r="D39" s="17"/>
      <c r="E39" s="17"/>
    </row>
    <row r="40" spans="1:5" ht="15" customHeight="1" x14ac:dyDescent="0.25">
      <c r="B40" s="16" t="s">
        <v>171</v>
      </c>
      <c r="C40" s="75">
        <v>2.2400000000000002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2.0799999999999999E-2</v>
      </c>
      <c r="D45" s="17"/>
    </row>
    <row r="46" spans="1:5" ht="15.75" customHeight="1" x14ac:dyDescent="0.25">
      <c r="B46" s="16" t="s">
        <v>11</v>
      </c>
      <c r="C46" s="71">
        <v>0.10869999999999999</v>
      </c>
      <c r="D46" s="17"/>
    </row>
    <row r="47" spans="1:5" ht="15.75" customHeight="1" x14ac:dyDescent="0.25">
      <c r="B47" s="16" t="s">
        <v>12</v>
      </c>
      <c r="C47" s="71">
        <v>0.18410000000000001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3.1283123372975004</v>
      </c>
      <c r="D51" s="17"/>
    </row>
    <row r="52" spans="1:4" ht="15" customHeight="1" x14ac:dyDescent="0.25">
      <c r="B52" s="16" t="s">
        <v>125</v>
      </c>
      <c r="C52" s="76">
        <v>3.1574560214999998</v>
      </c>
    </row>
    <row r="53" spans="1:4" ht="15.75" customHeight="1" x14ac:dyDescent="0.25">
      <c r="B53" s="16" t="s">
        <v>126</v>
      </c>
      <c r="C53" s="76">
        <v>3.1574560214999998</v>
      </c>
    </row>
    <row r="54" spans="1:4" ht="15.75" customHeight="1" x14ac:dyDescent="0.25">
      <c r="B54" s="16" t="s">
        <v>127</v>
      </c>
      <c r="C54" s="76">
        <v>2.2441139427299901</v>
      </c>
    </row>
    <row r="55" spans="1:4" ht="15.75" customHeight="1" x14ac:dyDescent="0.25">
      <c r="B55" s="16" t="s">
        <v>128</v>
      </c>
      <c r="C55" s="76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0.48116417427266617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39.694784016169571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44.74391570258959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126.95735367877131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0.38438675086138185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1.1877541287380324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1.1877541287380324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1.1877541287380324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1.1877541287380324</v>
      </c>
      <c r="E13" s="86" t="s">
        <v>202</v>
      </c>
    </row>
    <row r="14" spans="1:5" ht="15.75" customHeight="1" x14ac:dyDescent="0.25">
      <c r="A14" s="11" t="s">
        <v>187</v>
      </c>
      <c r="B14" s="85">
        <v>0.59099999999999997</v>
      </c>
      <c r="C14" s="85">
        <v>0.95</v>
      </c>
      <c r="D14" s="86">
        <v>14.268977571709948</v>
      </c>
      <c r="E14" s="86" t="s">
        <v>202</v>
      </c>
    </row>
    <row r="15" spans="1:5" ht="15.75" customHeight="1" x14ac:dyDescent="0.25">
      <c r="A15" s="11" t="s">
        <v>209</v>
      </c>
      <c r="B15" s="85">
        <v>0.59099999999999997</v>
      </c>
      <c r="C15" s="85">
        <v>0.95</v>
      </c>
      <c r="D15" s="86">
        <v>14.268977571709948</v>
      </c>
      <c r="E15" s="86" t="s">
        <v>202</v>
      </c>
    </row>
    <row r="16" spans="1:5" ht="15.75" customHeight="1" x14ac:dyDescent="0.25">
      <c r="A16" s="52" t="s">
        <v>57</v>
      </c>
      <c r="B16" s="85">
        <v>0.78799999999999992</v>
      </c>
      <c r="C16" s="85">
        <v>0.95</v>
      </c>
      <c r="D16" s="86">
        <v>0.32525745301380288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0.22</v>
      </c>
      <c r="C18" s="85">
        <v>0.95</v>
      </c>
      <c r="D18" s="87">
        <v>3.0133371170447374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3.0133371170447374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3.0133371170447374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3.4535387086730069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24.366673580157038</v>
      </c>
      <c r="E22" s="86" t="s">
        <v>202</v>
      </c>
    </row>
    <row r="23" spans="1:5" ht="15.75" customHeight="1" x14ac:dyDescent="0.25">
      <c r="A23" s="52" t="s">
        <v>34</v>
      </c>
      <c r="B23" s="85">
        <v>0.80599999999999994</v>
      </c>
      <c r="C23" s="85">
        <v>0.95</v>
      </c>
      <c r="D23" s="86">
        <v>4.7084773800389677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20.578639540376962</v>
      </c>
      <c r="E24" s="86" t="s">
        <v>202</v>
      </c>
    </row>
    <row r="25" spans="1:5" ht="15.75" customHeight="1" x14ac:dyDescent="0.25">
      <c r="A25" s="52" t="s">
        <v>87</v>
      </c>
      <c r="B25" s="85">
        <v>0.39200000000000002</v>
      </c>
      <c r="C25" s="85">
        <v>0.95</v>
      </c>
      <c r="D25" s="86">
        <v>20.578040701966572</v>
      </c>
      <c r="E25" s="86" t="s">
        <v>202</v>
      </c>
    </row>
    <row r="26" spans="1:5" ht="15.75" customHeight="1" x14ac:dyDescent="0.25">
      <c r="A26" s="52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4.5221177643204893</v>
      </c>
      <c r="E27" s="86" t="s">
        <v>202</v>
      </c>
    </row>
    <row r="28" spans="1:5" ht="15.75" customHeight="1" x14ac:dyDescent="0.25">
      <c r="A28" s="52" t="s">
        <v>84</v>
      </c>
      <c r="B28" s="85">
        <v>0.6409999999999999</v>
      </c>
      <c r="C28" s="85">
        <v>0.95</v>
      </c>
      <c r="D28" s="86">
        <v>1.6703599833265592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71.801996499827609</v>
      </c>
      <c r="E29" s="86" t="s">
        <v>202</v>
      </c>
    </row>
    <row r="30" spans="1:5" ht="15.75" customHeight="1" x14ac:dyDescent="0.25">
      <c r="A30" s="52" t="s">
        <v>67</v>
      </c>
      <c r="B30" s="85">
        <v>0.98</v>
      </c>
      <c r="C30" s="85">
        <v>0.95</v>
      </c>
      <c r="D30" s="86">
        <v>1.824558777781067</v>
      </c>
      <c r="E30" s="86" t="s">
        <v>202</v>
      </c>
    </row>
    <row r="31" spans="1:5" ht="15.75" customHeight="1" x14ac:dyDescent="0.25">
      <c r="A31" s="52" t="s">
        <v>28</v>
      </c>
      <c r="B31" s="85">
        <v>0.6845</v>
      </c>
      <c r="C31" s="85">
        <v>0.95</v>
      </c>
      <c r="D31" s="86">
        <v>0.64797125932125421</v>
      </c>
      <c r="E31" s="86" t="s">
        <v>202</v>
      </c>
    </row>
    <row r="32" spans="1:5" ht="15.75" customHeight="1" x14ac:dyDescent="0.25">
      <c r="A32" s="52" t="s">
        <v>83</v>
      </c>
      <c r="B32" s="85">
        <v>0.84299999999999997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0.439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0.65400000000000003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0.158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4.7630130644995639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0.67193001770424465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0.13699141040000001</v>
      </c>
      <c r="C3" s="26">
        <f>frac_mam_1_5months * 2.6</f>
        <v>0.13699141040000001</v>
      </c>
      <c r="D3" s="26">
        <f>frac_mam_6_11months * 2.6</f>
        <v>0.18034067480000002</v>
      </c>
      <c r="E3" s="26">
        <f>frac_mam_12_23months * 2.6</f>
        <v>0.10835652359999999</v>
      </c>
      <c r="F3" s="26">
        <f>frac_mam_24_59months * 2.6</f>
        <v>7.5263919466666662E-2</v>
      </c>
    </row>
    <row r="4" spans="1:6" ht="15.75" customHeight="1" x14ac:dyDescent="0.25">
      <c r="A4" s="3" t="s">
        <v>66</v>
      </c>
      <c r="B4" s="26">
        <f>frac_sam_1month * 2.6</f>
        <v>8.5992454600000004E-2</v>
      </c>
      <c r="C4" s="26">
        <f>frac_sam_1_5months * 2.6</f>
        <v>8.5992454600000004E-2</v>
      </c>
      <c r="D4" s="26">
        <f>frac_sam_6_11months * 2.6</f>
        <v>9.1050055200000007E-2</v>
      </c>
      <c r="E4" s="26">
        <f>frac_sam_12_23months * 2.6</f>
        <v>6.9315688E-2</v>
      </c>
      <c r="F4" s="26">
        <f>frac_sam_24_59months * 2.6</f>
        <v>5.5677682666666679E-2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646722.22028999997</v>
      </c>
      <c r="C2" s="78">
        <v>966116</v>
      </c>
      <c r="D2" s="78">
        <v>1472234</v>
      </c>
      <c r="E2" s="78">
        <v>1027917</v>
      </c>
      <c r="F2" s="78">
        <v>636388</v>
      </c>
      <c r="G2" s="22">
        <f t="shared" ref="G2:G40" si="0">C2+D2+E2+F2</f>
        <v>4102655</v>
      </c>
      <c r="H2" s="22">
        <f t="shared" ref="H2:H40" si="1">(B2 + stillbirth*B2/(1000-stillbirth))/(1-abortion)</f>
        <v>759226.71218113741</v>
      </c>
      <c r="I2" s="22">
        <f>G2-H2</f>
        <v>3343428.2878188626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661053.59933333332</v>
      </c>
      <c r="C3" s="78">
        <v>997000</v>
      </c>
      <c r="D3" s="78">
        <v>1522000</v>
      </c>
      <c r="E3" s="78">
        <v>1062000</v>
      </c>
      <c r="F3" s="78">
        <v>670000</v>
      </c>
      <c r="G3" s="22">
        <f t="shared" si="0"/>
        <v>4251000</v>
      </c>
      <c r="H3" s="22">
        <f t="shared" si="1"/>
        <v>776051.19331186544</v>
      </c>
      <c r="I3" s="22">
        <f t="shared" ref="I3:I15" si="3">G3-H3</f>
        <v>3474948.8066881346</v>
      </c>
    </row>
    <row r="4" spans="1:9" ht="15.75" customHeight="1" x14ac:dyDescent="0.25">
      <c r="A4" s="7">
        <f t="shared" si="2"/>
        <v>2019</v>
      </c>
      <c r="B4" s="77">
        <v>675573.02166666673</v>
      </c>
      <c r="C4" s="78">
        <v>1027000</v>
      </c>
      <c r="D4" s="78">
        <v>1574000</v>
      </c>
      <c r="E4" s="78">
        <v>1095000</v>
      </c>
      <c r="F4" s="78">
        <v>704000</v>
      </c>
      <c r="G4" s="22">
        <f t="shared" si="0"/>
        <v>4400000</v>
      </c>
      <c r="H4" s="22">
        <f t="shared" si="1"/>
        <v>793096.42994524259</v>
      </c>
      <c r="I4" s="22">
        <f t="shared" si="3"/>
        <v>3606903.5700547574</v>
      </c>
    </row>
    <row r="5" spans="1:9" ht="15.75" customHeight="1" x14ac:dyDescent="0.25">
      <c r="A5" s="7">
        <f t="shared" si="2"/>
        <v>2020</v>
      </c>
      <c r="B5" s="77">
        <v>690301.12399999995</v>
      </c>
      <c r="C5" s="78">
        <v>1056000</v>
      </c>
      <c r="D5" s="78">
        <v>1628000</v>
      </c>
      <c r="E5" s="78">
        <v>1130000</v>
      </c>
      <c r="F5" s="78">
        <v>738000</v>
      </c>
      <c r="G5" s="22">
        <f t="shared" si="0"/>
        <v>4552000</v>
      </c>
      <c r="H5" s="22">
        <f t="shared" si="1"/>
        <v>810386.6487754999</v>
      </c>
      <c r="I5" s="22">
        <f t="shared" si="3"/>
        <v>3741613.3512245002</v>
      </c>
    </row>
    <row r="6" spans="1:9" ht="15.75" customHeight="1" x14ac:dyDescent="0.25">
      <c r="A6" s="7">
        <f t="shared" si="2"/>
        <v>2021</v>
      </c>
      <c r="B6" s="77">
        <v>704897.35100000002</v>
      </c>
      <c r="C6" s="78">
        <v>1082000</v>
      </c>
      <c r="D6" s="78">
        <v>1683000</v>
      </c>
      <c r="E6" s="78">
        <v>1165000</v>
      </c>
      <c r="F6" s="78">
        <v>771000</v>
      </c>
      <c r="G6" s="22">
        <f t="shared" si="0"/>
        <v>4701000</v>
      </c>
      <c r="H6" s="22">
        <f t="shared" si="1"/>
        <v>827522.05109782971</v>
      </c>
      <c r="I6" s="22">
        <f t="shared" si="3"/>
        <v>3873477.9489021702</v>
      </c>
    </row>
    <row r="7" spans="1:9" ht="15.75" customHeight="1" x14ac:dyDescent="0.25">
      <c r="A7" s="7">
        <f t="shared" si="2"/>
        <v>2022</v>
      </c>
      <c r="B7" s="77">
        <v>719621.90879999998</v>
      </c>
      <c r="C7" s="78">
        <v>1106000</v>
      </c>
      <c r="D7" s="78">
        <v>1741000</v>
      </c>
      <c r="E7" s="78">
        <v>1201000</v>
      </c>
      <c r="F7" s="78">
        <v>805000</v>
      </c>
      <c r="G7" s="22">
        <f t="shared" si="0"/>
        <v>4853000</v>
      </c>
      <c r="H7" s="22">
        <f t="shared" si="1"/>
        <v>844808.10878392891</v>
      </c>
      <c r="I7" s="22">
        <f t="shared" si="3"/>
        <v>4008191.8912160713</v>
      </c>
    </row>
    <row r="8" spans="1:9" ht="15.75" customHeight="1" x14ac:dyDescent="0.25">
      <c r="A8" s="7">
        <f t="shared" si="2"/>
        <v>2023</v>
      </c>
      <c r="B8" s="77">
        <v>734462.73079999979</v>
      </c>
      <c r="C8" s="78">
        <v>1130000</v>
      </c>
      <c r="D8" s="78">
        <v>1801000</v>
      </c>
      <c r="E8" s="78">
        <v>1239000</v>
      </c>
      <c r="F8" s="78">
        <v>837000</v>
      </c>
      <c r="G8" s="22">
        <f t="shared" si="0"/>
        <v>5007000</v>
      </c>
      <c r="H8" s="22">
        <f t="shared" si="1"/>
        <v>862230.65611510433</v>
      </c>
      <c r="I8" s="22">
        <f t="shared" si="3"/>
        <v>4144769.3438848956</v>
      </c>
    </row>
    <row r="9" spans="1:9" ht="15.75" customHeight="1" x14ac:dyDescent="0.25">
      <c r="A9" s="7">
        <f t="shared" si="2"/>
        <v>2024</v>
      </c>
      <c r="B9" s="77">
        <v>749479.18719999981</v>
      </c>
      <c r="C9" s="78">
        <v>1154000</v>
      </c>
      <c r="D9" s="78">
        <v>1861000</v>
      </c>
      <c r="E9" s="78">
        <v>1279000</v>
      </c>
      <c r="F9" s="78">
        <v>870000</v>
      </c>
      <c r="G9" s="22">
        <f t="shared" si="0"/>
        <v>5164000</v>
      </c>
      <c r="H9" s="22">
        <f t="shared" si="1"/>
        <v>879859.39139509993</v>
      </c>
      <c r="I9" s="22">
        <f t="shared" si="3"/>
        <v>4284140.6086049005</v>
      </c>
    </row>
    <row r="10" spans="1:9" ht="15.75" customHeight="1" x14ac:dyDescent="0.25">
      <c r="A10" s="7">
        <f t="shared" si="2"/>
        <v>2025</v>
      </c>
      <c r="B10" s="77">
        <v>764621.946</v>
      </c>
      <c r="C10" s="78">
        <v>1180000</v>
      </c>
      <c r="D10" s="78">
        <v>1920000</v>
      </c>
      <c r="E10" s="78">
        <v>1321000</v>
      </c>
      <c r="F10" s="78">
        <v>902000</v>
      </c>
      <c r="G10" s="22">
        <f t="shared" si="0"/>
        <v>5323000</v>
      </c>
      <c r="H10" s="22">
        <f t="shared" si="1"/>
        <v>897636.40077622305</v>
      </c>
      <c r="I10" s="22">
        <f t="shared" si="3"/>
        <v>4425363.5992237767</v>
      </c>
    </row>
    <row r="11" spans="1:9" ht="15.75" customHeight="1" x14ac:dyDescent="0.25">
      <c r="A11" s="7">
        <f t="shared" si="2"/>
        <v>2026</v>
      </c>
      <c r="B11" s="77">
        <v>779171.44819999998</v>
      </c>
      <c r="C11" s="78">
        <v>1206000</v>
      </c>
      <c r="D11" s="78">
        <v>1976000</v>
      </c>
      <c r="E11" s="78">
        <v>1366000</v>
      </c>
      <c r="F11" s="78">
        <v>935000</v>
      </c>
      <c r="G11" s="22">
        <f t="shared" si="0"/>
        <v>5483000</v>
      </c>
      <c r="H11" s="22">
        <f t="shared" si="1"/>
        <v>914716.9500021718</v>
      </c>
      <c r="I11" s="22">
        <f t="shared" si="3"/>
        <v>4568283.049997828</v>
      </c>
    </row>
    <row r="12" spans="1:9" ht="15.75" customHeight="1" x14ac:dyDescent="0.25">
      <c r="A12" s="7">
        <f t="shared" si="2"/>
        <v>2027</v>
      </c>
      <c r="B12" s="77">
        <v>793815.34939999995</v>
      </c>
      <c r="C12" s="78">
        <v>1233000</v>
      </c>
      <c r="D12" s="78">
        <v>2033000</v>
      </c>
      <c r="E12" s="78">
        <v>1412000</v>
      </c>
      <c r="F12" s="78">
        <v>968000</v>
      </c>
      <c r="G12" s="22">
        <f t="shared" si="0"/>
        <v>5646000</v>
      </c>
      <c r="H12" s="22">
        <f t="shared" si="1"/>
        <v>931908.3199795261</v>
      </c>
      <c r="I12" s="22">
        <f t="shared" si="3"/>
        <v>4714091.6800204739</v>
      </c>
    </row>
    <row r="13" spans="1:9" ht="15.75" customHeight="1" x14ac:dyDescent="0.25">
      <c r="A13" s="7">
        <f t="shared" si="2"/>
        <v>2028</v>
      </c>
      <c r="B13" s="77">
        <v>808503.91019999993</v>
      </c>
      <c r="C13" s="78">
        <v>1261000</v>
      </c>
      <c r="D13" s="78">
        <v>2088000</v>
      </c>
      <c r="E13" s="78">
        <v>1462000</v>
      </c>
      <c r="F13" s="78">
        <v>1000000</v>
      </c>
      <c r="G13" s="22">
        <f t="shared" si="0"/>
        <v>5811000</v>
      </c>
      <c r="H13" s="22">
        <f t="shared" si="1"/>
        <v>949152.11858885176</v>
      </c>
      <c r="I13" s="22">
        <f t="shared" si="3"/>
        <v>4861847.8814111482</v>
      </c>
    </row>
    <row r="14" spans="1:9" ht="15.75" customHeight="1" x14ac:dyDescent="0.25">
      <c r="A14" s="7">
        <f t="shared" si="2"/>
        <v>2029</v>
      </c>
      <c r="B14" s="77">
        <v>823188.75599999994</v>
      </c>
      <c r="C14" s="78">
        <v>1291000</v>
      </c>
      <c r="D14" s="78">
        <v>2143000</v>
      </c>
      <c r="E14" s="78">
        <v>1514000</v>
      </c>
      <c r="F14" s="78">
        <v>1034000</v>
      </c>
      <c r="G14" s="22">
        <f t="shared" si="0"/>
        <v>5982000</v>
      </c>
      <c r="H14" s="22">
        <f t="shared" si="1"/>
        <v>966391.55593278829</v>
      </c>
      <c r="I14" s="22">
        <f t="shared" si="3"/>
        <v>5015608.4440672118</v>
      </c>
    </row>
    <row r="15" spans="1:9" ht="15.75" customHeight="1" x14ac:dyDescent="0.25">
      <c r="A15" s="7">
        <f t="shared" si="2"/>
        <v>2030</v>
      </c>
      <c r="B15" s="77">
        <v>837822.87700000009</v>
      </c>
      <c r="C15" s="78">
        <v>1323000</v>
      </c>
      <c r="D15" s="78">
        <v>2196000</v>
      </c>
      <c r="E15" s="78">
        <v>1568000</v>
      </c>
      <c r="F15" s="78">
        <v>1069000</v>
      </c>
      <c r="G15" s="22">
        <f t="shared" si="0"/>
        <v>6156000</v>
      </c>
      <c r="H15" s="22">
        <f t="shared" si="1"/>
        <v>983571.44433604891</v>
      </c>
      <c r="I15" s="22">
        <f t="shared" si="3"/>
        <v>5172428.5556639507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129.13571811785866</v>
      </c>
      <c r="I17" s="22">
        <f t="shared" si="4"/>
        <v>-129.13571811785866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6.1506845000000004E-2</v>
      </c>
    </row>
    <row r="4" spans="1:8" ht="15.75" customHeight="1" x14ac:dyDescent="0.25">
      <c r="B4" s="24" t="s">
        <v>7</v>
      </c>
      <c r="C4" s="79">
        <v>0.18412223412158746</v>
      </c>
    </row>
    <row r="5" spans="1:8" ht="15.75" customHeight="1" x14ac:dyDescent="0.25">
      <c r="B5" s="24" t="s">
        <v>8</v>
      </c>
      <c r="C5" s="79">
        <v>0.12969197052170764</v>
      </c>
    </row>
    <row r="6" spans="1:8" ht="15.75" customHeight="1" x14ac:dyDescent="0.25">
      <c r="B6" s="24" t="s">
        <v>10</v>
      </c>
      <c r="C6" s="79">
        <v>0.13955010162772416</v>
      </c>
    </row>
    <row r="7" spans="1:8" ht="15.75" customHeight="1" x14ac:dyDescent="0.25">
      <c r="B7" s="24" t="s">
        <v>13</v>
      </c>
      <c r="C7" s="79">
        <v>0.10777491480527518</v>
      </c>
    </row>
    <row r="8" spans="1:8" ht="15.75" customHeight="1" x14ac:dyDescent="0.25">
      <c r="B8" s="24" t="s">
        <v>14</v>
      </c>
      <c r="C8" s="79">
        <v>1.06953310923037E-2</v>
      </c>
    </row>
    <row r="9" spans="1:8" ht="15.75" customHeight="1" x14ac:dyDescent="0.25">
      <c r="B9" s="24" t="s">
        <v>27</v>
      </c>
      <c r="C9" s="79">
        <v>0.11705344707531599</v>
      </c>
    </row>
    <row r="10" spans="1:8" ht="15.75" customHeight="1" x14ac:dyDescent="0.25">
      <c r="B10" s="24" t="s">
        <v>15</v>
      </c>
      <c r="C10" s="79">
        <v>0.24960515575608588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0.14184304602918199</v>
      </c>
      <c r="D14" s="79">
        <v>0.14184304602918199</v>
      </c>
      <c r="E14" s="79">
        <v>0.14402298729996399</v>
      </c>
      <c r="F14" s="79">
        <v>0.14402298729996399</v>
      </c>
    </row>
    <row r="15" spans="1:8" ht="15.75" customHeight="1" x14ac:dyDescent="0.25">
      <c r="B15" s="24" t="s">
        <v>16</v>
      </c>
      <c r="C15" s="79">
        <v>0.16887523864065199</v>
      </c>
      <c r="D15" s="79">
        <v>0.16887523864065199</v>
      </c>
      <c r="E15" s="79">
        <v>0.12660477362087399</v>
      </c>
      <c r="F15" s="79">
        <v>0.12660477362087399</v>
      </c>
    </row>
    <row r="16" spans="1:8" ht="15.75" customHeight="1" x14ac:dyDescent="0.25">
      <c r="B16" s="24" t="s">
        <v>17</v>
      </c>
      <c r="C16" s="79">
        <v>3.6659492318905203E-2</v>
      </c>
      <c r="D16" s="79">
        <v>3.6659492318905203E-2</v>
      </c>
      <c r="E16" s="79">
        <v>4.5440304660995398E-2</v>
      </c>
      <c r="F16" s="79">
        <v>4.5440304660995398E-2</v>
      </c>
    </row>
    <row r="17" spans="1:8" ht="15.75" customHeight="1" x14ac:dyDescent="0.25">
      <c r="B17" s="24" t="s">
        <v>18</v>
      </c>
      <c r="C17" s="79">
        <v>5.1728191383869295E-4</v>
      </c>
      <c r="D17" s="79">
        <v>5.1728191383869295E-4</v>
      </c>
      <c r="E17" s="79">
        <v>1.6448597485047801E-3</v>
      </c>
      <c r="F17" s="79">
        <v>1.6448597485047801E-3</v>
      </c>
    </row>
    <row r="18" spans="1:8" ht="15.75" customHeight="1" x14ac:dyDescent="0.25">
      <c r="B18" s="24" t="s">
        <v>19</v>
      </c>
      <c r="C18" s="79">
        <v>7.2722935425937996E-2</v>
      </c>
      <c r="D18" s="79">
        <v>7.2722935425937996E-2</v>
      </c>
      <c r="E18" s="79">
        <v>0.12164794809672901</v>
      </c>
      <c r="F18" s="79">
        <v>0.12164794809672901</v>
      </c>
    </row>
    <row r="19" spans="1:8" ht="15.75" customHeight="1" x14ac:dyDescent="0.25">
      <c r="B19" s="24" t="s">
        <v>20</v>
      </c>
      <c r="C19" s="79">
        <v>3.7400123687319096E-3</v>
      </c>
      <c r="D19" s="79">
        <v>3.7400123687319096E-3</v>
      </c>
      <c r="E19" s="79">
        <v>4.9902805142183404E-3</v>
      </c>
      <c r="F19" s="79">
        <v>4.9902805142183404E-3</v>
      </c>
    </row>
    <row r="20" spans="1:8" ht="15.75" customHeight="1" x14ac:dyDescent="0.25">
      <c r="B20" s="24" t="s">
        <v>21</v>
      </c>
      <c r="C20" s="79">
        <v>0.26061190745058199</v>
      </c>
      <c r="D20" s="79">
        <v>0.26061190745058199</v>
      </c>
      <c r="E20" s="79">
        <v>0.131664107056332</v>
      </c>
      <c r="F20" s="79">
        <v>0.131664107056332</v>
      </c>
    </row>
    <row r="21" spans="1:8" ht="15.75" customHeight="1" x14ac:dyDescent="0.25">
      <c r="B21" s="24" t="s">
        <v>22</v>
      </c>
      <c r="C21" s="79">
        <v>2.1457633220648299E-2</v>
      </c>
      <c r="D21" s="79">
        <v>2.1457633220648299E-2</v>
      </c>
      <c r="E21" s="79">
        <v>7.3807143273562997E-2</v>
      </c>
      <c r="F21" s="79">
        <v>7.3807143273562997E-2</v>
      </c>
    </row>
    <row r="22" spans="1:8" ht="15.75" customHeight="1" x14ac:dyDescent="0.25">
      <c r="B22" s="24" t="s">
        <v>23</v>
      </c>
      <c r="C22" s="79">
        <v>0.29357245263152187</v>
      </c>
      <c r="D22" s="79">
        <v>0.29357245263152187</v>
      </c>
      <c r="E22" s="79">
        <v>0.35017759572881957</v>
      </c>
      <c r="F22" s="79">
        <v>0.35017759572881957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8.1900000000000001E-2</v>
      </c>
    </row>
    <row r="27" spans="1:8" ht="15.75" customHeight="1" x14ac:dyDescent="0.25">
      <c r="B27" s="24" t="s">
        <v>39</v>
      </c>
      <c r="C27" s="79">
        <v>8.199999999999999E-3</v>
      </c>
    </row>
    <row r="28" spans="1:8" ht="15.75" customHeight="1" x14ac:dyDescent="0.25">
      <c r="B28" s="24" t="s">
        <v>40</v>
      </c>
      <c r="C28" s="79">
        <v>0.14369999999999999</v>
      </c>
    </row>
    <row r="29" spans="1:8" ht="15.75" customHeight="1" x14ac:dyDescent="0.25">
      <c r="B29" s="24" t="s">
        <v>41</v>
      </c>
      <c r="C29" s="79">
        <v>0.15390000000000001</v>
      </c>
    </row>
    <row r="30" spans="1:8" ht="15.75" customHeight="1" x14ac:dyDescent="0.25">
      <c r="B30" s="24" t="s">
        <v>42</v>
      </c>
      <c r="C30" s="79">
        <v>9.74E-2</v>
      </c>
    </row>
    <row r="31" spans="1:8" ht="15.75" customHeight="1" x14ac:dyDescent="0.25">
      <c r="B31" s="24" t="s">
        <v>43</v>
      </c>
      <c r="C31" s="79">
        <v>9.8900000000000002E-2</v>
      </c>
    </row>
    <row r="32" spans="1:8" ht="15.75" customHeight="1" x14ac:dyDescent="0.25">
      <c r="B32" s="24" t="s">
        <v>44</v>
      </c>
      <c r="C32" s="79">
        <v>1.7000000000000001E-2</v>
      </c>
    </row>
    <row r="33" spans="2:3" ht="15.75" customHeight="1" x14ac:dyDescent="0.25">
      <c r="B33" s="24" t="s">
        <v>45</v>
      </c>
      <c r="C33" s="79">
        <v>7.6499999999999999E-2</v>
      </c>
    </row>
    <row r="34" spans="2:3" ht="15.75" customHeight="1" x14ac:dyDescent="0.25">
      <c r="B34" s="24" t="s">
        <v>46</v>
      </c>
      <c r="C34" s="79">
        <v>0.32250000000000001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0.64022652633768173</v>
      </c>
      <c r="D2" s="80">
        <v>0.64022652633768173</v>
      </c>
      <c r="E2" s="80">
        <v>0.44705416633180273</v>
      </c>
      <c r="F2" s="80">
        <v>0.27267850417710171</v>
      </c>
      <c r="G2" s="80">
        <v>0.23152922436691445</v>
      </c>
    </row>
    <row r="3" spans="1:15" ht="15.75" customHeight="1" x14ac:dyDescent="0.25">
      <c r="A3" s="5"/>
      <c r="B3" s="11" t="s">
        <v>118</v>
      </c>
      <c r="C3" s="80">
        <v>0.22273091321888153</v>
      </c>
      <c r="D3" s="80">
        <v>0.22273091321888153</v>
      </c>
      <c r="E3" s="80">
        <v>0.2325080820431028</v>
      </c>
      <c r="F3" s="80">
        <v>0.23809970835754171</v>
      </c>
      <c r="G3" s="80">
        <v>0.27924898816772892</v>
      </c>
    </row>
    <row r="4" spans="1:15" ht="15.75" customHeight="1" x14ac:dyDescent="0.25">
      <c r="A4" s="5"/>
      <c r="B4" s="11" t="s">
        <v>116</v>
      </c>
      <c r="C4" s="81">
        <v>8.3636268505920888E-2</v>
      </c>
      <c r="D4" s="81">
        <v>8.3636268505920888E-2</v>
      </c>
      <c r="E4" s="81">
        <v>0.18339519118165784</v>
      </c>
      <c r="F4" s="81">
        <v>0.26249696320231791</v>
      </c>
      <c r="G4" s="81">
        <v>0.26249696320231791</v>
      </c>
    </row>
    <row r="5" spans="1:15" ht="15.75" customHeight="1" x14ac:dyDescent="0.25">
      <c r="A5" s="5"/>
      <c r="B5" s="11" t="s">
        <v>119</v>
      </c>
      <c r="C5" s="81">
        <v>5.340629193751574E-2</v>
      </c>
      <c r="D5" s="81">
        <v>5.340629193751574E-2</v>
      </c>
      <c r="E5" s="81">
        <v>0.13704256044343666</v>
      </c>
      <c r="F5" s="81">
        <v>0.22672482426303858</v>
      </c>
      <c r="G5" s="81">
        <v>0.22672482426303858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0.78192629200217623</v>
      </c>
      <c r="D8" s="80">
        <v>0.78192629200217623</v>
      </c>
      <c r="E8" s="80">
        <v>0.74998179773230089</v>
      </c>
      <c r="F8" s="80">
        <v>0.79256531786036521</v>
      </c>
      <c r="G8" s="80">
        <v>0.82868397240140346</v>
      </c>
    </row>
    <row r="9" spans="1:15" ht="15.75" customHeight="1" x14ac:dyDescent="0.25">
      <c r="B9" s="7" t="s">
        <v>121</v>
      </c>
      <c r="C9" s="80">
        <v>0.13231068299782375</v>
      </c>
      <c r="D9" s="80">
        <v>0.13231068299782375</v>
      </c>
      <c r="E9" s="80">
        <v>0.1456371522676991</v>
      </c>
      <c r="F9" s="80">
        <v>0.13909921613963483</v>
      </c>
      <c r="G9" s="80">
        <v>0.1209538729319298</v>
      </c>
    </row>
    <row r="10" spans="1:15" ht="15.75" customHeight="1" x14ac:dyDescent="0.25">
      <c r="B10" s="7" t="s">
        <v>122</v>
      </c>
      <c r="C10" s="81">
        <v>5.2689004000000005E-2</v>
      </c>
      <c r="D10" s="81">
        <v>5.2689004000000005E-2</v>
      </c>
      <c r="E10" s="81">
        <v>6.9361798000000002E-2</v>
      </c>
      <c r="F10" s="81">
        <v>4.1675585999999994E-2</v>
      </c>
      <c r="G10" s="81">
        <v>2.8947661333333329E-2</v>
      </c>
    </row>
    <row r="11" spans="1:15" ht="15.75" customHeight="1" x14ac:dyDescent="0.25">
      <c r="B11" s="7" t="s">
        <v>123</v>
      </c>
      <c r="C11" s="81">
        <v>3.3074021000000002E-2</v>
      </c>
      <c r="D11" s="81">
        <v>3.3074021000000002E-2</v>
      </c>
      <c r="E11" s="81">
        <v>3.5019252000000001E-2</v>
      </c>
      <c r="F11" s="81">
        <v>2.665988E-2</v>
      </c>
      <c r="G11" s="81">
        <v>2.1414493333333336E-2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0.68039410399999989</v>
      </c>
      <c r="D14" s="82">
        <v>0.6725565473509999</v>
      </c>
      <c r="E14" s="82">
        <v>0.6725565473509999</v>
      </c>
      <c r="F14" s="82">
        <v>0.61939207375200001</v>
      </c>
      <c r="G14" s="82">
        <v>0.61939207375200001</v>
      </c>
      <c r="H14" s="83">
        <v>0.76500000000000001</v>
      </c>
      <c r="I14" s="83">
        <v>0.39100000000000001</v>
      </c>
      <c r="J14" s="83">
        <v>0.39100000000000001</v>
      </c>
      <c r="K14" s="83">
        <v>0.39100000000000001</v>
      </c>
      <c r="L14" s="83">
        <v>0.240025503709</v>
      </c>
      <c r="M14" s="83">
        <v>0.24567805249050001</v>
      </c>
      <c r="N14" s="83">
        <v>0.24599560731449999</v>
      </c>
      <c r="O14" s="83">
        <v>0.28722129044650002</v>
      </c>
    </row>
    <row r="15" spans="1:15" ht="15.75" customHeight="1" x14ac:dyDescent="0.25">
      <c r="B15" s="16" t="s">
        <v>68</v>
      </c>
      <c r="C15" s="80">
        <f>iron_deficiency_anaemia*C14</f>
        <v>0.32738126723115052</v>
      </c>
      <c r="D15" s="80">
        <f t="shared" ref="D15:O15" si="0">iron_deficiency_anaemia*D14</f>
        <v>0.32361011575781917</v>
      </c>
      <c r="E15" s="80">
        <f t="shared" si="0"/>
        <v>0.32361011575781917</v>
      </c>
      <c r="F15" s="80">
        <f t="shared" si="0"/>
        <v>0.29802927571791543</v>
      </c>
      <c r="G15" s="80">
        <f t="shared" si="0"/>
        <v>0.29802927571791543</v>
      </c>
      <c r="H15" s="80">
        <f t="shared" si="0"/>
        <v>0.36809059331858962</v>
      </c>
      <c r="I15" s="80">
        <f t="shared" si="0"/>
        <v>0.18813519214061247</v>
      </c>
      <c r="J15" s="80">
        <f t="shared" si="0"/>
        <v>0.18813519214061247</v>
      </c>
      <c r="K15" s="80">
        <f t="shared" si="0"/>
        <v>0.18813519214061247</v>
      </c>
      <c r="L15" s="80">
        <f t="shared" si="0"/>
        <v>0.11549167329652175</v>
      </c>
      <c r="M15" s="80">
        <f t="shared" si="0"/>
        <v>0.11821147726350817</v>
      </c>
      <c r="N15" s="80">
        <f t="shared" si="0"/>
        <v>0.11836427326818443</v>
      </c>
      <c r="O15" s="80">
        <f t="shared" si="0"/>
        <v>0.13820059505121982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0.72499999999999998</v>
      </c>
      <c r="D2" s="81">
        <v>0.72499999999999998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3.7000000000000005E-2</v>
      </c>
      <c r="D3" s="81">
        <v>9.0999999999999998E-2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0.17399999999999999</v>
      </c>
      <c r="D4" s="81">
        <v>0.17399999999999999</v>
      </c>
      <c r="E4" s="81">
        <v>0.89900000000000002</v>
      </c>
      <c r="F4" s="81">
        <v>0.89599999999999991</v>
      </c>
      <c r="G4" s="81">
        <v>0</v>
      </c>
    </row>
    <row r="5" spans="1:7" x14ac:dyDescent="0.25">
      <c r="B5" s="43" t="s">
        <v>169</v>
      </c>
      <c r="C5" s="80">
        <f>1-SUM(C2:C4)</f>
        <v>6.4000000000000057E-2</v>
      </c>
      <c r="D5" s="80">
        <f>1-SUM(D2:D4)</f>
        <v>1.0000000000000009E-2</v>
      </c>
      <c r="E5" s="80">
        <f>1-SUM(E2:E4)</f>
        <v>0.10099999999999998</v>
      </c>
      <c r="F5" s="80">
        <f>1-SUM(F2:F4)</f>
        <v>0.10400000000000009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0.41905999999999999</v>
      </c>
      <c r="D2" s="144">
        <v>0.41110000000000002</v>
      </c>
      <c r="E2" s="144">
        <v>0.40319000000000005</v>
      </c>
      <c r="F2" s="144">
        <v>0.39529000000000003</v>
      </c>
      <c r="G2" s="144">
        <v>0.38731000000000004</v>
      </c>
      <c r="H2" s="144">
        <v>0.37963999999999998</v>
      </c>
      <c r="I2" s="144">
        <v>0.37207000000000001</v>
      </c>
      <c r="J2" s="144">
        <v>0.36462000000000006</v>
      </c>
      <c r="K2" s="144">
        <v>0.35728000000000004</v>
      </c>
      <c r="L2" s="144">
        <v>0.35008</v>
      </c>
      <c r="M2" s="144">
        <v>0.34299999999999997</v>
      </c>
      <c r="N2" s="144">
        <v>0.33604999999999996</v>
      </c>
      <c r="O2" s="144">
        <v>0.32923000000000002</v>
      </c>
      <c r="P2" s="144">
        <v>0.32253999999999999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5.9000000000000004E-2</v>
      </c>
      <c r="D4" s="144">
        <v>5.91E-2</v>
      </c>
      <c r="E4" s="144">
        <v>5.9229999999999998E-2</v>
      </c>
      <c r="F4" s="144">
        <v>5.9359999999999996E-2</v>
      </c>
      <c r="G4" s="144">
        <v>5.9500000000000004E-2</v>
      </c>
      <c r="H4" s="144">
        <v>5.9650000000000002E-2</v>
      </c>
      <c r="I4" s="144">
        <v>5.9810000000000002E-2</v>
      </c>
      <c r="J4" s="144">
        <v>5.9989999999999995E-2</v>
      </c>
      <c r="K4" s="144">
        <v>6.0170000000000001E-2</v>
      </c>
      <c r="L4" s="144">
        <v>6.0359999999999997E-2</v>
      </c>
      <c r="M4" s="144">
        <v>6.0570000000000006E-2</v>
      </c>
      <c r="N4" s="144">
        <v>6.0780000000000001E-2</v>
      </c>
      <c r="O4" s="144">
        <v>6.0999999999999999E-2</v>
      </c>
      <c r="P4" s="144">
        <v>6.1239999999999996E-2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0.30320829625045165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0.2138431065946092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0.1235777663517638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0.72499999999999998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0.89699999999999991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62.448999999999998</v>
      </c>
      <c r="D13" s="143">
        <v>59.997999999999998</v>
      </c>
      <c r="E13" s="143">
        <v>57.564</v>
      </c>
      <c r="F13" s="143">
        <v>55.344000000000001</v>
      </c>
      <c r="G13" s="143">
        <v>53.34</v>
      </c>
      <c r="H13" s="143">
        <v>51.430999999999997</v>
      </c>
      <c r="I13" s="143">
        <v>49.656999999999996</v>
      </c>
      <c r="J13" s="143">
        <v>47.953000000000003</v>
      </c>
      <c r="K13" s="143">
        <v>46.353000000000002</v>
      </c>
      <c r="L13" s="143">
        <v>44.825000000000003</v>
      </c>
      <c r="M13" s="143">
        <v>43.387</v>
      </c>
      <c r="N13" s="143">
        <v>42.008000000000003</v>
      </c>
      <c r="O13" s="143">
        <v>40.723999999999997</v>
      </c>
      <c r="P13" s="143">
        <v>39.484999999999999</v>
      </c>
    </row>
    <row r="14" spans="1:16" x14ac:dyDescent="0.25">
      <c r="B14" s="16" t="s">
        <v>170</v>
      </c>
      <c r="C14" s="143">
        <f>maternal_mortality</f>
        <v>2.2400000000000002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0.54400000000000004</v>
      </c>
      <c r="E2" s="92">
        <f>food_insecure</f>
        <v>0.54400000000000004</v>
      </c>
      <c r="F2" s="92">
        <f>food_insecure</f>
        <v>0.54400000000000004</v>
      </c>
      <c r="G2" s="92">
        <f>food_insecure</f>
        <v>0.54400000000000004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0.54400000000000004</v>
      </c>
      <c r="F5" s="92">
        <f>food_insecure</f>
        <v>0.54400000000000004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0.12031970528067309</v>
      </c>
      <c r="D7" s="92">
        <f>diarrhoea_1_5mo/26</f>
        <v>0.12144061621153845</v>
      </c>
      <c r="E7" s="92">
        <f>diarrhoea_6_11mo/26</f>
        <v>0.12144061621153845</v>
      </c>
      <c r="F7" s="92">
        <f>diarrhoea_12_23mo/26</f>
        <v>8.6312074720384241E-2</v>
      </c>
      <c r="G7" s="92">
        <f>diarrhoea_24_59mo/26</f>
        <v>8.6312074720384241E-2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0.54400000000000004</v>
      </c>
      <c r="F8" s="92">
        <f>food_insecure</f>
        <v>0.54400000000000004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0.69700000000000006</v>
      </c>
      <c r="E9" s="92">
        <f>IF(ISBLANK(comm_deliv), frac_children_health_facility,1)</f>
        <v>0.69700000000000006</v>
      </c>
      <c r="F9" s="92">
        <f>IF(ISBLANK(comm_deliv), frac_children_health_facility,1)</f>
        <v>0.69700000000000006</v>
      </c>
      <c r="G9" s="92">
        <f>IF(ISBLANK(comm_deliv), frac_children_health_facility,1)</f>
        <v>0.69700000000000006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0.12031970528067309</v>
      </c>
      <c r="D11" s="92">
        <f>diarrhoea_1_5mo/26</f>
        <v>0.12144061621153845</v>
      </c>
      <c r="E11" s="92">
        <f>diarrhoea_6_11mo/26</f>
        <v>0.12144061621153845</v>
      </c>
      <c r="F11" s="92">
        <f>diarrhoea_12_23mo/26</f>
        <v>8.6312074720384241E-2</v>
      </c>
      <c r="G11" s="92">
        <f>diarrhoea_24_59mo/26</f>
        <v>8.6312074720384241E-2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0.54400000000000004</v>
      </c>
      <c r="I14" s="92">
        <f>food_insecure</f>
        <v>0.54400000000000004</v>
      </c>
      <c r="J14" s="92">
        <f>food_insecure</f>
        <v>0.54400000000000004</v>
      </c>
      <c r="K14" s="92">
        <f>food_insecure</f>
        <v>0.54400000000000004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0.55500000000000005</v>
      </c>
      <c r="I17" s="92">
        <f>frac_PW_health_facility</f>
        <v>0.55500000000000005</v>
      </c>
      <c r="J17" s="92">
        <f>frac_PW_health_facility</f>
        <v>0.55500000000000005</v>
      </c>
      <c r="K17" s="92">
        <f>frac_PW_health_facility</f>
        <v>0.55500000000000005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0.83</v>
      </c>
      <c r="I18" s="92">
        <f>frac_malaria_risk</f>
        <v>0.83</v>
      </c>
      <c r="J18" s="92">
        <f>frac_malaria_risk</f>
        <v>0.83</v>
      </c>
      <c r="K18" s="92">
        <f>frac_malaria_risk</f>
        <v>0.83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0.36200000000000004</v>
      </c>
      <c r="M23" s="92">
        <f>famplan_unmet_need</f>
        <v>0.36200000000000004</v>
      </c>
      <c r="N23" s="92">
        <f>famplan_unmet_need</f>
        <v>0.36200000000000004</v>
      </c>
      <c r="O23" s="92">
        <f>famplan_unmet_need</f>
        <v>0.36200000000000004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0.40723769270620802</v>
      </c>
      <c r="M24" s="92">
        <f>(1-food_insecure)*(0.49)+food_insecure*(0.7)</f>
        <v>0.60424</v>
      </c>
      <c r="N24" s="92">
        <f>(1-food_insecure)*(0.49)+food_insecure*(0.7)</f>
        <v>0.60424</v>
      </c>
      <c r="O24" s="92">
        <f>(1-food_insecure)*(0.49)+food_insecure*(0.7)</f>
        <v>0.60424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0.174530439731232</v>
      </c>
      <c r="M25" s="92">
        <f>(1-food_insecure)*(0.21)+food_insecure*(0.3)</f>
        <v>0.25895999999999997</v>
      </c>
      <c r="N25" s="92">
        <f>(1-food_insecure)*(0.21)+food_insecure*(0.3)</f>
        <v>0.25895999999999997</v>
      </c>
      <c r="O25" s="92">
        <f>(1-food_insecure)*(0.21)+food_insecure*(0.3)</f>
        <v>0.25895999999999997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9.2198656762559977E-2</v>
      </c>
      <c r="M26" s="92">
        <f>(1-food_insecure)*(0.3)</f>
        <v>0.13679999999999998</v>
      </c>
      <c r="N26" s="92">
        <f>(1-food_insecure)*(0.3)</f>
        <v>0.13679999999999998</v>
      </c>
      <c r="O26" s="92">
        <f>(1-food_insecure)*(0.3)</f>
        <v>0.13679999999999998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0.83</v>
      </c>
      <c r="D33" s="92">
        <f t="shared" si="3"/>
        <v>0.83</v>
      </c>
      <c r="E33" s="92">
        <f t="shared" si="3"/>
        <v>0.83</v>
      </c>
      <c r="F33" s="92">
        <f t="shared" si="3"/>
        <v>0.83</v>
      </c>
      <c r="G33" s="92">
        <f t="shared" si="3"/>
        <v>0.83</v>
      </c>
      <c r="H33" s="92">
        <f t="shared" si="3"/>
        <v>0.83</v>
      </c>
      <c r="I33" s="92">
        <f t="shared" si="3"/>
        <v>0.83</v>
      </c>
      <c r="J33" s="92">
        <f t="shared" si="3"/>
        <v>0.83</v>
      </c>
      <c r="K33" s="92">
        <f t="shared" si="3"/>
        <v>0.83</v>
      </c>
      <c r="L33" s="92">
        <f t="shared" si="3"/>
        <v>0.83</v>
      </c>
      <c r="M33" s="92">
        <f t="shared" si="3"/>
        <v>0.83</v>
      </c>
      <c r="N33" s="92">
        <f t="shared" si="3"/>
        <v>0.83</v>
      </c>
      <c r="O33" s="92">
        <f t="shared" si="3"/>
        <v>0.83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2020-03-24T06:51:04Z</dcterms:modified>
</cp:coreProperties>
</file>