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78B6980B-7AB6-4754-95F1-0E12726053A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16" i="2"/>
  <c r="I33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3" i="2"/>
  <c r="I12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4FEE317-1FE0-47C3-9D0B-CE0818C4D5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96DBF83-AFA4-40BD-A444-E0BD554ACB7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A3B2D70-C02A-4961-8DA4-70F61C28080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3CCD979E-2DC3-4032-82F2-5EAE455EE48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285DBE7-4D1F-40CE-BD91-8D60EE63877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0636A8C2-0FCA-4400-9805-5861ABC8E664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87806B6F-B2BC-4A8F-881C-2F84F0130E3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9B442F0-61B2-4102-8BB9-8F8B4C8244E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3C34F74-7C62-41BB-B6AF-479A974CE11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C10D08B-E4DB-49B2-A58F-AB0347394BE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FE216CE-C480-4487-BDD0-1C2F700B1EA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A39F000-1B5A-4577-9F6D-2945B92066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EA4CFEFC-D6F8-4269-A007-5BB2CF5B5AB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9B4C0499-AC9D-4748-A849-E2072AADA6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9110238-83B7-4FAE-97F7-874850BF8D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016DA5B-DDA1-465D-83E0-A3C6C33B9D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4EBD5A1-67FC-4C17-9B3D-665EE6DC74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47D9DE7-CCBC-4F64-8FD6-D3D40AEF32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B5C2E77-0CC1-465F-B30B-B64706C111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B409E4A-6162-4577-973C-8E2A7841FF6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AB4D37B-C7F7-4CDA-95A3-4F02D576271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2B0BE49D-0F25-4F4F-BD51-90E010A2C53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4F31273-F62F-4434-8353-7ACF33BBC57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853F256-DCB5-4F7F-9985-4C64937C04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B27C57A-8C33-49E0-A19D-5872299B584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11DC467-3F9D-4561-AC8E-B8A6BF32F6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CFE5AAD9-88E1-4BCA-9B9C-A1712CF656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969F1CE-4CA4-41FC-8597-82408BA39F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F78F9949-0911-49D9-B033-71DE614DF7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78CE41F6-43F9-4521-9A0B-41F37E98D2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6F1D74C-FDAA-437A-B93F-A2F212B7AC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DFB24F4-E0C3-402A-A4ED-3420EBAF68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FC5C83BF-C06E-4BC7-A8A2-5E5FDD8EFE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07648EE-9473-4FF7-A1A9-1FDEBEFA75B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329FE91B-373F-4A28-9DB1-D7B098041A0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FCBB199-646F-4736-B350-7DC016B455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AEE49A3A-8D13-48E2-91B4-93B41F908D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EFA29238-9BE9-4E37-AF92-4EC7DA67B1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7A38A41-58D7-4808-99DB-E216176292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7DC3E1E5-DCAE-4E43-B359-5B44837599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073150B-91FB-4AD1-8A6D-BFCA0412C3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0CE5E55-D110-4CDF-BA50-84DA49AC93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FB4D8EA0-B473-47FC-A7C1-808BAEA598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C873D69D-CDE4-408C-87BE-460F7238B3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CB6E518-E9EC-45A7-8F18-D1B7B6A6CF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1DCA879-E2C2-47FF-A4CA-D44B851526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6A56BC68-CBE4-43D7-9B38-6DD842840B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E17353A7-C918-4BAD-A3DC-682C500117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A777E83E-86B7-4B71-874C-0B9723ABEE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18238F0-A762-48B3-85AC-7604769808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CB123C6A-27A3-43A8-9CFA-F15D3FFA8E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4A3876E-8F9C-4A11-882E-81E919BD17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BFBC670-E1EE-4DF0-9293-ECE534D329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6496576-B4B4-40AE-8B32-2F4020B3E2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BF8B8EF8-633A-4C3F-8B85-5E06B7504D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8F933AE-E91D-47D1-8486-8DA0498F79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569932C-AD62-48C4-9CF6-106C7C3916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A24B649-FB2C-4C5D-AD41-B328E39080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DB10879-1A29-4E53-A0DD-A13091442C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AEB7FCE5-9806-4C57-A4C8-FD818C2913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12774BF8-6BC6-45BF-8B90-36E5D8926E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D6558CE2-D5E2-4987-90F5-837923FB02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9170ADA-9787-48D1-A500-F2B94631C7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BED0600-020F-446D-B08F-179EBC2091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851EF6E-4ED0-429B-B26A-3692A8C583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CFF1AB3B-1E1F-4C26-B13F-F7375FA55C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367982A-D2A3-43C0-8AAA-E0793B3042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B19CEC2-916A-40EA-90C0-2F4181CF47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00566801-AB64-4F7E-8D96-2702BB242C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672FDDF-EE46-41AC-A1F3-2DCA1A3447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5A90818-8DB1-4278-A338-934E3945E3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DBBB9012-DE4E-4027-A430-3B65896771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7ABE374-EABB-4C6A-86A5-F26A2F8D7E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3F0E9651-786A-4655-90BB-9A1602CF97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66D30CE3-57F4-43AB-B20F-25B6251BB5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9EEB2BBE-EC5F-43F9-BBA8-9F536A9449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0F9614CF-6D03-485E-8EC5-F106D3C13C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177270C-1FCD-423D-B332-E6E0293A83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A97A7D3D-E972-403C-A762-46E32F6FC5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863E3D54-8E75-4C3F-8A9A-D08264BC4A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C953A1A-3936-41BA-8395-E56D6894AF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2B9235C-6C2E-4D09-B3B0-90213DB908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F032A95-082A-401E-A1AC-82C6066320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D1EC39C-9595-47E0-B1A2-5E6E35AFA4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93DF94E-03BF-488B-B3F1-AA7F5784FD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12631EE-7E01-4993-8D05-2E2B5CFBA1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03C65A2F-6A51-43CD-925E-11EBC64C52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EA0F8D3-0D19-4716-B484-AB68B6DE8E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A52D9A3-5548-4854-BC24-6AC8299448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1297543E-7E13-43FB-AFC4-FD50F7386B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098F37D-299A-4FA8-93AB-1B2012B800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350D115-BDF3-4FAA-AE80-F5BDB79FCF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28291C39-D878-441D-A9E0-6EACF76205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4E6BA6A6-AB42-4B8D-8F30-8E3C4B0B1A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86789EBD-19E8-462C-B162-76000575FB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0B14275-3776-4370-B2BA-99E6777B02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6E76102-0091-4FB2-9039-CD21F4F4AC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945B8912-5750-42C1-970B-1D7A834B89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C8EF0BB-5325-45DD-9199-D6A2E517A1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750C6B0-142C-4794-8A65-FE3CF36F33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3FE3970C-3F00-4B4B-A75F-1BAC528797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6F786E7-310E-4040-9E8F-3CFE1B9A19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73CCAE13-25A3-4AA9-85C0-88B8034BD1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F7E98414-AE8E-43EA-A2FB-0254A89136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B5A5DCA3-6E42-4FED-B01D-1130334C4C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5EB01FDB-3F00-4E0F-90C4-963477F1FE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5F1F78C-D1A0-4568-ACBE-F9E2EAA66B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03582662-0206-4801-98C5-2BFFA0E410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F1A59154-488A-41C3-B200-80902DF79D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E45E56C-3694-49E8-ADDA-E7DA27D83B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12BACA6-9122-452E-889C-B7D09F2E9F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1947713D-7A5C-4C11-8D1B-61B54F2340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19165FDA-C0BD-4EA0-BCFF-F911EC4509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C6C229F2-22B4-4CA5-ACEE-6A925EFAA76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87C16BB1-125D-4CBE-96D5-3602F0375A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E3E889B-9070-4D2B-93E5-5C4A6C6AD74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F48A1B52-E050-49CC-AE7E-A00F4844CA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F32D8AD-7F21-4585-B501-DE4BC1AD7E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A5E98C5-EC26-4BD5-A036-BB66EE8B97F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0DFFDF7-66D1-45F7-952C-59E312940E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6576482-C6FB-407E-AB11-2A397D7C4C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8FA78B7-E9EC-4C89-9BAD-238BE42A41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B4CF5CDA-29EE-4060-9498-B4F221453F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3D8E508F-C163-4956-9187-4579AB07D8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A2684C9-E7E5-47E9-8CD9-009A16B17D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3F596206-22C0-42F8-B650-8DD8E02EF4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CB667C0-A40C-4ACE-8F0B-8647C0F675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3BD11B35-1DE9-4CF6-B838-2FA2F81B3B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3C5FEF04-5956-4608-939D-3D31E92074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DA9053D-13A8-46CA-9B27-253118930E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316790B-6987-4266-9C7A-8726C5BFCA5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90EFC9F5-4631-491E-841E-4BE0F68567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CCD5351-6A0F-42ED-9C6D-1FE5B16F62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CCA571F9-931E-4F65-AFCE-C8CDBF1A01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F1C3FFEB-5F98-4CB5-AF55-F6FB1406B2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1C925E74-5D43-41D1-864F-C52F15E1201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A0F94C4-FE0D-4BAD-885A-7158F253695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7A1CFC3-1336-4064-B532-39E3464AA5B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A09E501-6D68-439C-ABB3-1E70090F457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40777E0B-AAAF-475D-9F81-9A0BC05E55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76E2D78A-ECCC-4236-BEC5-AA72AB5179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7D6D68B6-D31E-4E77-97A0-C4CDA116CD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5593D1FE-1E0F-41BF-BE1B-F7802A2C78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B5A7078-BF6C-41A1-9659-D33F4E0BAF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390AA42B-6AB8-4F7C-9522-4C11F94FC99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DF354DFA-5997-404E-9768-42314C8007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A3A0B156-4D6A-4067-B004-289DA91CB2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3554997-A369-41E2-B325-2611FC3269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329AD7C-5933-4B43-8A81-E850984FD6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5ED970B-0822-4CD1-86BD-A00CADD070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69A67B0-5CC5-4661-A74D-1DD00DA893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14C5DAC-60E1-4248-90E1-7386708DA5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3A7E010-8FEB-4C50-A356-3610B8F342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EC9FE09-075D-487F-AED3-0C462E94B8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72F7053-AAB8-445F-80A0-7250F7CA56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0A047EC-CE25-4994-9CA7-67EAE4B65C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778B64B-2DE0-42E9-826C-313903992A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8BC81D0-75EF-4016-920B-0240AAA1229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278EFDD-B269-4D0D-A10C-F8C0F314B0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C5363AF-7F7A-4254-BD77-5523815220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BFC1590E-ACE8-46E6-9BC1-8E17FC88C8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76D3BFF6-01B5-4918-B5EB-DBE617DCC3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EADD635-6B22-466C-8B7B-CF80A41D2E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0BBBF893-DD22-4DB1-86DE-F2540C85A5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F18A1AB0-EBD4-41E2-B632-47D767A410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A502A8F2-C061-4B33-B1E9-70D1571057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C754ACE-B44F-43AD-8061-F56694253E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0782DE52-B1DB-4F22-8B85-FF1CEB8842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08E1FF03-B849-4403-8B58-439FB06289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55AB1E3E-A110-47A7-9F62-5E96896923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7BD62E39-EE08-463E-8F56-0D6E680A79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6CF2BF8C-49D4-438D-A099-AB36B930B1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FE724C1-B50C-4E21-B129-D06D68DDB0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F21648E3-4134-4272-A7EC-C7DA67BEDC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FB9CC74-8242-4760-A333-7B46D6B411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B65C0CE8-D550-42C6-BFE0-B8280FC31D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9C1FC626-11C8-4FAB-A6EF-DD5989B1E6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1CED6F98-586D-4921-AD74-8009B4AE7C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525BD00-8128-4A2F-8229-00258F22D9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D2D0DA18-0B78-4583-A715-4D06EEC6B9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93DF6C33-C79F-4F2C-BDE6-F7F9A0C982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B1D67C88-22B6-4888-903E-8E504D494B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AF64F25D-53E6-4AEE-AB01-8CBD0DD556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A5F0C04F-E2AF-4AC6-9753-FB2A0718FA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351FED4E-1629-49E5-9EE2-39691A50D5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59A2130-C955-459F-8C43-627765E03C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3366070C-6E05-447B-87D5-B58F825A39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92774F56-954F-450B-BDA0-18CE1BE9CE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F71B8FD2-F9AC-477E-99B5-FB1D676C82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5E8DFEF2-F127-4B2A-B0EE-2CBA61338B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7EF72F0E-B9E1-4CAB-99A8-CFE942B8CA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4FB2E1B-AD82-40FE-97C2-5F0D876FBF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76465E7C-BCEE-45EB-982C-23DE5A43A8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5DEFE17B-F975-4687-BAE5-2A5D79D019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CE6D3D4A-B2C8-4A36-A4E6-511EF5AF9F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D906D992-6EAB-49A0-8939-3E81D3D9B3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A8AA0692-67E1-4E7E-868B-83EE425D69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B1AC5FB9-1643-4F17-A47E-0512349087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CBA6B22-66D5-48E2-8CFD-3F5E6FC8B3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DB84AC0-9831-4795-B730-1E8661F32DD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D40203D-277B-404C-87CD-378E73AA7C9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D7A93DA-1BF2-49C6-9C53-96B34050ED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93AB6F5-2AFE-4E5A-A3D9-ACE06EE95A4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60D31EF-5C14-4BA5-B3BD-3C9426A40BE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9DF12C4-3BD8-450C-9924-02C1D054885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552FBB72-F0B6-4627-9C83-DC3C1623724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D37C162-1363-4B1F-84AE-1B80053988C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1C716A1-086F-49B2-BB86-6F41AACF04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465F2C6-F242-403C-9D8E-B5693D4870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A81230EE-BF17-458F-8F0B-4C6628B1CC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49C6D827-7108-4DDB-96E1-8991BECB4E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83BD2904-C97A-4E80-BBCF-A6B7CF37ABC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930B59C6-263D-42C6-B48F-9A3E1D48601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066FC7C-11A7-487C-82E1-A1BB7B21C8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E2845BA-DB8C-46DA-9296-7BD9E95DFF4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B174C6EE-90ED-48EE-AA65-473D1814C87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4554A2A5-C232-4BBB-987E-90371593C10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66C87892-D9B4-476E-9CAF-FFFC86FE3A5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65D720C9-D64B-480C-BC75-5D65BFC9589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FF9968C-957E-4ED5-A9F7-D8F3E8EC2F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4C72B93F-F041-4A91-851B-43D4597091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A667E36-CDD0-493C-875F-33DAB2F516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35B68F1-EF73-4F1D-8916-33780FD854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58C4AF0-7A50-46FE-9417-BAC4E98F8C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9DB8CCB-CB04-4EBA-9BEB-858DC3DAE6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2319DB5-A4CB-443B-A752-DD19F736A7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C8FC367-0190-4C83-8001-E03FC62746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D27502E-C82C-4A7A-A137-FB50D8EEE3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8EA74D5D-8DB0-4AE7-AA72-A8265BE8D5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C99982F3-1F44-4AD5-84C3-15DA2ABE6A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619DDF8-7115-44F4-BFED-DDD8A74A65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AD184D31-5308-463F-9C3A-837DDD213C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64FBBAB7-D9AE-40FB-94F4-3FFBAD8F20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2A646BC-3308-4626-A830-D544E48B85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640CCB03-8F85-44D7-A6A2-EFACC536F7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43C349A-BCCD-449F-94F5-0D0B240019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0BB67BF1-77AF-4778-8E21-7BA8903FA8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C8C9510-549C-4E81-9E0E-F2B4E2D0FE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63B75DA-8CB2-4BC5-AC22-4752058094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9C9F3230-89A5-4EC0-AF78-92D94C9CE4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BB6547F-6D3C-4483-87A6-D7417F88EA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C1EBBC2-A5D8-4CD3-AB65-73A2CBE66B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9B4B0D0-7424-4EC8-9F3D-D282C29E8C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DF85172-D0AD-4F06-A3E2-59EECF9BB1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4298605-4B56-4926-905B-80F072535F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F8C803B-0C8D-4D98-BC0C-2D0222D83F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2ACD466-BF47-45C1-9065-714D5E2DFC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6F9694B-1705-4A6D-A893-F256463427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5047CBC6-C2D5-4F83-8F91-252E90DF8D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E4E5FB6-FCBB-40D8-919F-0A8FF5FD59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9056BFCA-08BC-4A66-90FB-1F74094ABC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766DE0B5-3663-44C2-81BB-E9CE558921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70803D60-4449-4EBC-8BD9-57F46DAB8A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FA40F9A-45B8-4F12-A3C9-257D82D3AF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C66C1A73-CBDA-4714-9B36-ACC546F012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97C2789D-E70F-4D27-A421-2FAAD3283F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696108F8-C2CE-4CB6-8E9F-F131B9A80C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47F3398E-BA7C-4384-82C7-BF807B4CA8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0FA2F36-F960-4985-8350-4EDA60176F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AF6EEBE6-9CD6-4110-A577-6F8FCCA830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1BC5D43F-4CF0-4C50-BB47-B2B0C1CE15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D7C6FE5-83A0-469B-9C9C-6A63C6887F2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FF39450-B67F-4E96-99B5-36DC56DE0A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BC31177-0A12-4EDE-B962-53B013EABCE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567578F-24C3-4D7B-812B-B3380642CF1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7AA5111-5F0F-4627-B4DE-D27D466B3DDB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E81EB00-8443-488E-A20F-D050016C499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FA680629-AF79-4FCD-AE91-30626E55FA4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DAF149F-0776-46C3-86E2-7C8A8EF82EC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7BF151D9-F341-493A-943C-9826A344393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1EAC9040-3EAC-4157-BC90-6B54896D5D6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1281C7F-DFEB-43BD-B0FA-517343A4C79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B56DD56-FF3E-4FB2-A7A7-2249B3FB8E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1B7885B-32EC-4F61-A510-5324F6F5531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5B9C026-9899-437D-B1F9-FFDD9CC9E13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AB10618D-52C7-436B-AD3C-8BC6F47BA30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7A6AF5C-4AE7-4AD8-B908-F1C20FE0B4D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D2D4295E-2BDF-4C45-93BE-97D148F4F2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0857899-881A-46BD-8312-337E45EF618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154E404-5DD2-4B9D-AE3B-D0A0EE24AEE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579454A-AAEF-4F8A-A98B-E22B67BD3CC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64477587-4E26-4D59-ACA2-E9A54B3832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FB7AA01-94B0-4B59-9D33-F87E17FA521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493BC815-6335-4905-9E51-22B158E981E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D6621E7-EDB3-4C4B-8DC9-321906A7AE7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A2E45DC6-1B93-4F14-AB24-B4E035CEA8B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6697CEBC-1473-475A-8F0D-E1DBBC6FD87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C891D3E-0294-49E7-AAD8-80CF0F9E172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142A550-1C13-4F00-B7CD-06C97B00EF9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5DDF0CC8-42D5-4CF6-B5D8-132920A9B7A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73ED89B6-3E83-4DCD-896D-F873C16CDFB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0001615B-D8BE-4611-83E8-7C417493BBB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7AAADA60-0822-41CD-A3AE-56E3DDDB7D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3F53D9B-28EA-4CE1-8244-4EF3A06737B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8E8111B-9608-4A50-828D-F88704BE56C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5374115-4001-40F3-898A-8ED41CB2817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F6791300-E8CF-43F7-8494-4B0CB24170B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7DFEBCB-435D-4971-B518-43BDA325288A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BF5A71A5-A056-430F-A215-5DAC9194225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5F930E3F-E999-442B-AF54-98DFFF5F66B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9CE8B07-42E9-4446-BEDE-93DEC36C578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DB91EDF9-0C6B-419D-A07D-D533EBDD5D1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EBC8DC7B-6B85-4E0F-9C26-92C66995B9D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64AF27EF-7BBF-42CC-A172-1A14DF66AADD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22681A38-9414-4F5F-86A9-FF54EB3EB8C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E861E6D-03BE-4DA5-B2BA-508382B2885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FFFE3FE6-7CFF-4013-A402-9671B410B4A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FC70D3DA-7D0F-44CC-8F06-09853C1BEBD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A38E818-A612-4A7E-98CF-8D975ADE1CB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D52631B-41DF-4F3C-B4B2-9A1CB33CD30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6BB01B81-702C-4453-A87D-934C25149E5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1A04F552-70DD-481B-8718-817A34E5C94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11CC9B4-D967-4F81-9A86-14A6A504F67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C19A59C8-7D8D-4048-B3C0-39975A0F612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4F41CC7-5372-41E6-936D-171D30F0A44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59B6C0EC-2A5B-4A3D-A980-A897E660C14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73AA70C-8FFA-45FA-BB78-B06BF749345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AC0072C-F439-4449-A7EB-06108F41DEE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442FEC57-FADD-450A-A4E9-A134F1274D7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5B9639D-86CE-49FA-9919-0929B7316F7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5897FFE6-E53D-41FF-A7B1-75131D61769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E8A307D-75D1-4DD3-BC0C-55F3A7AB845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A76E22F-9D6A-4350-BE2F-DA9BC47F4A0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<sst xmlns="http://schemas.openxmlformats.org/spreadsheetml/2006/main" count="1102" uniqueCount="271">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</sst>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2548654</v>
      </c>
    </row>
    <row r="8" spans="1:3" ht="15" customHeight="1" x14ac:dyDescent="0.25">
      <c r="B8" s="7" t="s">
        <v>106</v>
      </c>
      <c r="C8" s="70">
        <v>0.7</v>
      </c>
    </row>
    <row r="9" spans="1:3" ht="15" customHeight="1" x14ac:dyDescent="0.25">
      <c r="B9" s="9" t="s">
        <v>107</v>
      </c>
      <c r="C9" s="71">
        <v>0.54</v>
      </c>
    </row>
    <row r="10" spans="1:3" ht="15" customHeight="1" x14ac:dyDescent="0.25">
      <c r="B10" s="9" t="s">
        <v>105</v>
      </c>
      <c r="C10" s="71">
        <v>0.44076328277587895</v>
      </c>
    </row>
    <row r="11" spans="1:3" ht="15" customHeight="1" x14ac:dyDescent="0.25">
      <c r="B11" s="7" t="s">
        <v>108</v>
      </c>
      <c r="C11" s="70">
        <v>0.75700000000000001</v>
      </c>
    </row>
    <row r="12" spans="1:3" ht="15" customHeight="1" x14ac:dyDescent="0.25">
      <c r="B12" s="7" t="s">
        <v>109</v>
      </c>
      <c r="C12" s="70">
        <v>0.498</v>
      </c>
    </row>
    <row r="13" spans="1:3" ht="15" customHeight="1" x14ac:dyDescent="0.25">
      <c r="B13" s="7" t="s">
        <v>110</v>
      </c>
      <c r="C13" s="70">
        <v>0.14800000000000002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0.14300000000000002</v>
      </c>
    </row>
    <row r="24" spans="1:3" ht="15" customHeight="1" x14ac:dyDescent="0.25">
      <c r="B24" s="20" t="s">
        <v>102</v>
      </c>
      <c r="C24" s="71">
        <v>0.49020000000000002</v>
      </c>
    </row>
    <row r="25" spans="1:3" ht="15" customHeight="1" x14ac:dyDescent="0.25">
      <c r="B25" s="20" t="s">
        <v>103</v>
      </c>
      <c r="C25" s="71">
        <v>0.31659999999999999</v>
      </c>
    </row>
    <row r="26" spans="1:3" ht="15" customHeight="1" x14ac:dyDescent="0.25">
      <c r="B26" s="20" t="s">
        <v>104</v>
      </c>
      <c r="C26" s="71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0.32400000000000001</v>
      </c>
    </row>
    <row r="30" spans="1:3" ht="14.25" customHeight="1" x14ac:dyDescent="0.25">
      <c r="B30" s="30" t="s">
        <v>76</v>
      </c>
      <c r="C30" s="73">
        <v>2.5000000000000001E-2</v>
      </c>
    </row>
    <row r="31" spans="1:3" ht="14.25" customHeight="1" x14ac:dyDescent="0.25">
      <c r="B31" s="30" t="s">
        <v>77</v>
      </c>
      <c r="C31" s="73">
        <v>4.4999999999999998E-2</v>
      </c>
    </row>
    <row r="32" spans="1:3" ht="14.25" customHeight="1" x14ac:dyDescent="0.25">
      <c r="B32" s="30" t="s">
        <v>78</v>
      </c>
      <c r="C32" s="73">
        <v>0.60599999999999998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22.4</v>
      </c>
    </row>
    <row r="38" spans="1:5" ht="15" customHeight="1" x14ac:dyDescent="0.25">
      <c r="B38" s="16" t="s">
        <v>91</v>
      </c>
      <c r="C38" s="75">
        <v>36.5</v>
      </c>
      <c r="D38" s="17"/>
      <c r="E38" s="18"/>
    </row>
    <row r="39" spans="1:5" ht="15" customHeight="1" x14ac:dyDescent="0.25">
      <c r="B39" s="16" t="s">
        <v>90</v>
      </c>
      <c r="C39" s="75">
        <v>50.3</v>
      </c>
      <c r="D39" s="17"/>
      <c r="E39" s="17"/>
    </row>
    <row r="40" spans="1:5" ht="15" customHeight="1" x14ac:dyDescent="0.25">
      <c r="B40" s="16" t="s">
        <v>171</v>
      </c>
      <c r="C40" s="75">
        <v>4.43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2.6600000000000002E-2</v>
      </c>
      <c r="D45" s="17"/>
    </row>
    <row r="46" spans="1:5" ht="15.75" customHeight="1" x14ac:dyDescent="0.25">
      <c r="B46" s="16" t="s">
        <v>11</v>
      </c>
      <c r="C46" s="71">
        <v>0.1389</v>
      </c>
      <c r="D46" s="17"/>
    </row>
    <row r="47" spans="1:5" ht="15.75" customHeight="1" x14ac:dyDescent="0.25">
      <c r="B47" s="16" t="s">
        <v>12</v>
      </c>
      <c r="C47" s="71">
        <v>0.193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2.4380139330474999</v>
      </c>
      <c r="D51" s="17"/>
    </row>
    <row r="52" spans="1:4" ht="15" customHeight="1" x14ac:dyDescent="0.25">
      <c r="B52" s="16" t="s">
        <v>125</v>
      </c>
      <c r="C52" s="76">
        <v>3.41411545087999</v>
      </c>
    </row>
    <row r="53" spans="1:4" ht="15.75" customHeight="1" x14ac:dyDescent="0.25">
      <c r="B53" s="16" t="s">
        <v>126</v>
      </c>
      <c r="C53" s="76">
        <v>3.41411545087999</v>
      </c>
    </row>
    <row r="54" spans="1:4" ht="15.75" customHeight="1" x14ac:dyDescent="0.25">
      <c r="B54" s="16" t="s">
        <v>127</v>
      </c>
      <c r="C54" s="76">
        <v>2.38066745783</v>
      </c>
    </row>
    <row r="55" spans="1:4" ht="15.75" customHeight="1" x14ac:dyDescent="0.25">
      <c r="B55" s="16" t="s">
        <v>128</v>
      </c>
      <c r="C55" s="76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0.42641971098609671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38.160776266150833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47.437843551227424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102.90766486784509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0.45690560806451586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1.2149782075482269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1.2149782075482269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1.2149782075482269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1.2149782075482269</v>
      </c>
      <c r="E13" s="86" t="s">
        <v>202</v>
      </c>
    </row>
    <row r="14" spans="1:5" ht="15.75" customHeight="1" x14ac:dyDescent="0.25">
      <c r="A14" s="11" t="s">
        <v>187</v>
      </c>
      <c r="B14" s="85">
        <v>0.39700000000000002</v>
      </c>
      <c r="C14" s="85">
        <v>0.95</v>
      </c>
      <c r="D14" s="86">
        <v>15.097092881722507</v>
      </c>
      <c r="E14" s="86" t="s">
        <v>202</v>
      </c>
    </row>
    <row r="15" spans="1:5" ht="15.75" customHeight="1" x14ac:dyDescent="0.25">
      <c r="A15" s="11" t="s">
        <v>209</v>
      </c>
      <c r="B15" s="85">
        <v>0.39700000000000002</v>
      </c>
      <c r="C15" s="85">
        <v>0.95</v>
      </c>
      <c r="D15" s="86">
        <v>15.097092881722507</v>
      </c>
      <c r="E15" s="86" t="s">
        <v>202</v>
      </c>
    </row>
    <row r="16" spans="1:5" ht="15.75" customHeight="1" x14ac:dyDescent="0.25">
      <c r="A16" s="52" t="s">
        <v>57</v>
      </c>
      <c r="B16" s="85">
        <v>0.121</v>
      </c>
      <c r="C16" s="85">
        <v>0.95</v>
      </c>
      <c r="D16" s="86">
        <v>0.29966946653826393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0.29499999999999998</v>
      </c>
      <c r="C18" s="85">
        <v>0.95</v>
      </c>
      <c r="D18" s="87">
        <v>2.4661440905760252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2.4661440905760252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2.4661440905760252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3.3085818740876318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25.756145724245066</v>
      </c>
      <c r="E22" s="86" t="s">
        <v>202</v>
      </c>
    </row>
    <row r="23" spans="1:5" ht="15.75" customHeight="1" x14ac:dyDescent="0.25">
      <c r="A23" s="52" t="s">
        <v>34</v>
      </c>
      <c r="B23" s="85">
        <v>0.54899999999999993</v>
      </c>
      <c r="C23" s="85">
        <v>0.95</v>
      </c>
      <c r="D23" s="86">
        <v>4.9613185520035712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21.789130572923643</v>
      </c>
      <c r="E24" s="86" t="s">
        <v>202</v>
      </c>
    </row>
    <row r="25" spans="1:5" ht="15.75" customHeight="1" x14ac:dyDescent="0.25">
      <c r="A25" s="52" t="s">
        <v>87</v>
      </c>
      <c r="B25" s="85">
        <v>0.57499999999999996</v>
      </c>
      <c r="C25" s="85">
        <v>0.95</v>
      </c>
      <c r="D25" s="86">
        <v>21.79232758590986</v>
      </c>
      <c r="E25" s="86" t="s">
        <v>202</v>
      </c>
    </row>
    <row r="26" spans="1:5" ht="15.75" customHeight="1" x14ac:dyDescent="0.25">
      <c r="A26" s="52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4.2887082760270854</v>
      </c>
      <c r="E27" s="86" t="s">
        <v>202</v>
      </c>
    </row>
    <row r="28" spans="1:5" ht="15.75" customHeight="1" x14ac:dyDescent="0.25">
      <c r="A28" s="52" t="s">
        <v>84</v>
      </c>
      <c r="B28" s="85">
        <v>0.40500000000000003</v>
      </c>
      <c r="C28" s="85">
        <v>0.95</v>
      </c>
      <c r="D28" s="86">
        <v>1.8053017437869487</v>
      </c>
      <c r="E28" s="86" t="s">
        <v>202</v>
      </c>
    </row>
    <row r="29" spans="1:5" ht="15.75" customHeight="1" x14ac:dyDescent="0.25">
      <c r="A29" s="52" t="s">
        <v>58</v>
      </c>
      <c r="B29" s="85">
        <v>8.900000000000001E-2</v>
      </c>
      <c r="C29" s="85">
        <v>0.95</v>
      </c>
      <c r="D29" s="86">
        <v>68.300854175426551</v>
      </c>
      <c r="E29" s="86" t="s">
        <v>202</v>
      </c>
    </row>
    <row r="30" spans="1:5" ht="15.75" customHeight="1" x14ac:dyDescent="0.25">
      <c r="A30" s="52" t="s">
        <v>67</v>
      </c>
      <c r="B30" s="85">
        <v>0.35</v>
      </c>
      <c r="C30" s="85">
        <v>0.95</v>
      </c>
      <c r="D30" s="86">
        <v>0.8470232226654113</v>
      </c>
      <c r="E30" s="86" t="s">
        <v>202</v>
      </c>
    </row>
    <row r="31" spans="1:5" ht="15.75" customHeight="1" x14ac:dyDescent="0.25">
      <c r="A31" s="52" t="s">
        <v>28</v>
      </c>
      <c r="B31" s="85">
        <v>0.51600000000000001</v>
      </c>
      <c r="C31" s="85">
        <v>0.95</v>
      </c>
      <c r="D31" s="86">
        <v>0.58527783165992031</v>
      </c>
      <c r="E31" s="86" t="s">
        <v>202</v>
      </c>
    </row>
    <row r="32" spans="1:5" ht="15.75" customHeight="1" x14ac:dyDescent="0.25">
      <c r="A32" s="52" t="s">
        <v>83</v>
      </c>
      <c r="B32" s="85">
        <v>0.76900000000000002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0.36799999999999999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0.76900000000000002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0.27500000000000002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0.19899999999999998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5.2830002631247943</v>
      </c>
      <c r="E37" s="86" t="s">
        <v>202</v>
      </c>
    </row>
    <row r="38" spans="1:6" ht="15.75" customHeight="1" x14ac:dyDescent="0.25">
      <c r="A38" s="52" t="s">
        <v>60</v>
      </c>
      <c r="B38" s="85">
        <v>0.19899999999999998</v>
      </c>
      <c r="C38" s="85">
        <v>0.95</v>
      </c>
      <c r="D38" s="86">
        <v>0.61070357633597905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7.1803700800000009E-2</v>
      </c>
      <c r="C3" s="26">
        <f>frac_mam_1_5months * 2.6</f>
        <v>7.1803700800000009E-2</v>
      </c>
      <c r="D3" s="26">
        <f>frac_mam_6_11months * 2.6</f>
        <v>0.15889442400000001</v>
      </c>
      <c r="E3" s="26">
        <f>frac_mam_12_23months * 2.6</f>
        <v>8.4616329200000007E-2</v>
      </c>
      <c r="F3" s="26">
        <f>frac_mam_24_59months * 2.6</f>
        <v>3.1848831039999997E-2</v>
      </c>
    </row>
    <row r="4" spans="1:6" ht="15.75" customHeight="1" x14ac:dyDescent="0.25">
      <c r="A4" s="3" t="s">
        <v>66</v>
      </c>
      <c r="B4" s="26">
        <f>frac_sam_1month * 2.6</f>
        <v>5.5735193800000013E-2</v>
      </c>
      <c r="C4" s="26">
        <f>frac_sam_1_5months * 2.6</f>
        <v>5.5735193800000013E-2</v>
      </c>
      <c r="D4" s="26">
        <f>frac_sam_6_11months * 2.6</f>
        <v>3.5909580199999999E-2</v>
      </c>
      <c r="E4" s="26">
        <f>frac_sam_12_23months * 2.6</f>
        <v>6.1969663599999995E-2</v>
      </c>
      <c r="F4" s="26">
        <f>frac_sam_24_59months * 2.6</f>
        <v>1.4569947426666667E-2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534213.4374719999</v>
      </c>
      <c r="C2" s="78">
        <v>867900</v>
      </c>
      <c r="D2" s="78">
        <v>1563599</v>
      </c>
      <c r="E2" s="78">
        <v>1231989</v>
      </c>
      <c r="F2" s="78">
        <v>643206</v>
      </c>
      <c r="G2" s="22">
        <f t="shared" ref="G2:G40" si="0">C2+D2+E2+F2</f>
        <v>4306694</v>
      </c>
      <c r="H2" s="22">
        <f t="shared" ref="H2:H40" si="1">(B2 + stillbirth*B2/(1000-stillbirth))/(1-abortion)</f>
        <v>626953.67967721261</v>
      </c>
      <c r="I2" s="22">
        <f>G2-H2</f>
        <v>3679740.3203227874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533779.91766666668</v>
      </c>
      <c r="C3" s="78">
        <v>882000</v>
      </c>
      <c r="D3" s="78">
        <v>1578000</v>
      </c>
      <c r="E3" s="78">
        <v>1272000</v>
      </c>
      <c r="F3" s="78">
        <v>686000</v>
      </c>
      <c r="G3" s="22">
        <f t="shared" si="0"/>
        <v>4418000</v>
      </c>
      <c r="H3" s="22">
        <f t="shared" si="1"/>
        <v>626444.90019301826</v>
      </c>
      <c r="I3" s="22">
        <f t="shared" ref="I3:I15" si="3">G3-H3</f>
        <v>3791555.0998069816</v>
      </c>
    </row>
    <row r="4" spans="1:9" ht="15.75" customHeight="1" x14ac:dyDescent="0.25">
      <c r="A4" s="7">
        <f t="shared" si="2"/>
        <v>2019</v>
      </c>
      <c r="B4" s="77">
        <v>532793.72533333336</v>
      </c>
      <c r="C4" s="78">
        <v>900000</v>
      </c>
      <c r="D4" s="78">
        <v>1593000</v>
      </c>
      <c r="E4" s="78">
        <v>1309000</v>
      </c>
      <c r="F4" s="78">
        <v>731000</v>
      </c>
      <c r="G4" s="22">
        <f t="shared" si="0"/>
        <v>4533000</v>
      </c>
      <c r="H4" s="22">
        <f t="shared" si="1"/>
        <v>625287.50341322436</v>
      </c>
      <c r="I4" s="22">
        <f t="shared" si="3"/>
        <v>3907712.4965867754</v>
      </c>
    </row>
    <row r="5" spans="1:9" ht="15.75" customHeight="1" x14ac:dyDescent="0.25">
      <c r="A5" s="7">
        <f t="shared" si="2"/>
        <v>2020</v>
      </c>
      <c r="B5" s="77">
        <v>531195.60000000009</v>
      </c>
      <c r="C5" s="78">
        <v>920000</v>
      </c>
      <c r="D5" s="78">
        <v>1609000</v>
      </c>
      <c r="E5" s="78">
        <v>1339000</v>
      </c>
      <c r="F5" s="78">
        <v>780000</v>
      </c>
      <c r="G5" s="22">
        <f t="shared" si="0"/>
        <v>4648000</v>
      </c>
      <c r="H5" s="22">
        <f t="shared" si="1"/>
        <v>623411.94116031635</v>
      </c>
      <c r="I5" s="22">
        <f t="shared" si="3"/>
        <v>4024588.0588396834</v>
      </c>
    </row>
    <row r="6" spans="1:9" ht="15.75" customHeight="1" x14ac:dyDescent="0.25">
      <c r="A6" s="7">
        <f t="shared" si="2"/>
        <v>2021</v>
      </c>
      <c r="B6" s="77">
        <v>532986.72</v>
      </c>
      <c r="C6" s="78">
        <v>945000</v>
      </c>
      <c r="D6" s="78">
        <v>1627000</v>
      </c>
      <c r="E6" s="78">
        <v>1368000</v>
      </c>
      <c r="F6" s="78">
        <v>831000</v>
      </c>
      <c r="G6" s="22">
        <f t="shared" si="0"/>
        <v>4771000</v>
      </c>
      <c r="H6" s="22">
        <f t="shared" si="1"/>
        <v>625514.0022392316</v>
      </c>
      <c r="I6" s="22">
        <f t="shared" si="3"/>
        <v>4145485.9977607685</v>
      </c>
    </row>
    <row r="7" spans="1:9" ht="15.75" customHeight="1" x14ac:dyDescent="0.25">
      <c r="A7" s="7">
        <f t="shared" si="2"/>
        <v>2022</v>
      </c>
      <c r="B7" s="77">
        <v>534285.82299999997</v>
      </c>
      <c r="C7" s="78">
        <v>972000</v>
      </c>
      <c r="D7" s="78">
        <v>1645000</v>
      </c>
      <c r="E7" s="78">
        <v>1391000</v>
      </c>
      <c r="F7" s="78">
        <v>884000</v>
      </c>
      <c r="G7" s="22">
        <f t="shared" si="0"/>
        <v>4892000</v>
      </c>
      <c r="H7" s="22">
        <f t="shared" si="1"/>
        <v>627038.63143984473</v>
      </c>
      <c r="I7" s="22">
        <f t="shared" si="3"/>
        <v>4264961.3685601549</v>
      </c>
    </row>
    <row r="8" spans="1:9" ht="15.75" customHeight="1" x14ac:dyDescent="0.25">
      <c r="A8" s="7">
        <f t="shared" si="2"/>
        <v>2023</v>
      </c>
      <c r="B8" s="77">
        <v>535154.598</v>
      </c>
      <c r="C8" s="78">
        <v>1001000</v>
      </c>
      <c r="D8" s="78">
        <v>1664000</v>
      </c>
      <c r="E8" s="78">
        <v>1410000</v>
      </c>
      <c r="F8" s="78">
        <v>937000</v>
      </c>
      <c r="G8" s="22">
        <f t="shared" si="0"/>
        <v>5012000</v>
      </c>
      <c r="H8" s="22">
        <f t="shared" si="1"/>
        <v>628058.22706371953</v>
      </c>
      <c r="I8" s="22">
        <f t="shared" si="3"/>
        <v>4383941.7729362808</v>
      </c>
    </row>
    <row r="9" spans="1:9" ht="15.75" customHeight="1" x14ac:dyDescent="0.25">
      <c r="A9" s="7">
        <f t="shared" si="2"/>
        <v>2024</v>
      </c>
      <c r="B9" s="77">
        <v>535650.47</v>
      </c>
      <c r="C9" s="78">
        <v>1032000</v>
      </c>
      <c r="D9" s="78">
        <v>1689000</v>
      </c>
      <c r="E9" s="78">
        <v>1427000</v>
      </c>
      <c r="F9" s="78">
        <v>988000</v>
      </c>
      <c r="G9" s="22">
        <f t="shared" si="0"/>
        <v>5136000</v>
      </c>
      <c r="H9" s="22">
        <f t="shared" si="1"/>
        <v>628640.18317571864</v>
      </c>
      <c r="I9" s="22">
        <f t="shared" si="3"/>
        <v>4507359.8168242816</v>
      </c>
    </row>
    <row r="10" spans="1:9" ht="15.75" customHeight="1" x14ac:dyDescent="0.25">
      <c r="A10" s="7">
        <f t="shared" si="2"/>
        <v>2025</v>
      </c>
      <c r="B10" s="77">
        <v>535853.98</v>
      </c>
      <c r="C10" s="78">
        <v>1065000</v>
      </c>
      <c r="D10" s="78">
        <v>1719000</v>
      </c>
      <c r="E10" s="78">
        <v>1445000</v>
      </c>
      <c r="F10" s="78">
        <v>1036000</v>
      </c>
      <c r="G10" s="22">
        <f t="shared" si="0"/>
        <v>5265000</v>
      </c>
      <c r="H10" s="22">
        <f t="shared" si="1"/>
        <v>628879.02281246544</v>
      </c>
      <c r="I10" s="22">
        <f t="shared" si="3"/>
        <v>4636120.9771875348</v>
      </c>
    </row>
    <row r="11" spans="1:9" ht="15.75" customHeight="1" x14ac:dyDescent="0.25">
      <c r="A11" s="7">
        <f t="shared" si="2"/>
        <v>2026</v>
      </c>
      <c r="B11" s="77">
        <v>539414.6712000001</v>
      </c>
      <c r="C11" s="78">
        <v>1097000</v>
      </c>
      <c r="D11" s="78">
        <v>1753000</v>
      </c>
      <c r="E11" s="78">
        <v>1460000</v>
      </c>
      <c r="F11" s="78">
        <v>1082000</v>
      </c>
      <c r="G11" s="22">
        <f t="shared" si="0"/>
        <v>5392000</v>
      </c>
      <c r="H11" s="22">
        <f t="shared" si="1"/>
        <v>633057.85526677151</v>
      </c>
      <c r="I11" s="22">
        <f t="shared" si="3"/>
        <v>4758942.1447332287</v>
      </c>
    </row>
    <row r="12" spans="1:9" ht="15.75" customHeight="1" x14ac:dyDescent="0.25">
      <c r="A12" s="7">
        <f t="shared" si="2"/>
        <v>2027</v>
      </c>
      <c r="B12" s="77">
        <v>542786.05760000006</v>
      </c>
      <c r="C12" s="78">
        <v>1131000</v>
      </c>
      <c r="D12" s="78">
        <v>1793000</v>
      </c>
      <c r="E12" s="78">
        <v>1476000</v>
      </c>
      <c r="F12" s="78">
        <v>1125000</v>
      </c>
      <c r="G12" s="22">
        <f t="shared" si="0"/>
        <v>5525000</v>
      </c>
      <c r="H12" s="22">
        <f t="shared" si="1"/>
        <v>637014.51932804286</v>
      </c>
      <c r="I12" s="22">
        <f t="shared" si="3"/>
        <v>4887985.4806719571</v>
      </c>
    </row>
    <row r="13" spans="1:9" ht="15.75" customHeight="1" x14ac:dyDescent="0.25">
      <c r="A13" s="7">
        <f t="shared" si="2"/>
        <v>2028</v>
      </c>
      <c r="B13" s="77">
        <v>545964.99100000015</v>
      </c>
      <c r="C13" s="78">
        <v>1164000</v>
      </c>
      <c r="D13" s="78">
        <v>1837000</v>
      </c>
      <c r="E13" s="78">
        <v>1491000</v>
      </c>
      <c r="F13" s="78">
        <v>1165000</v>
      </c>
      <c r="G13" s="22">
        <f t="shared" si="0"/>
        <v>5657000</v>
      </c>
      <c r="H13" s="22">
        <f t="shared" si="1"/>
        <v>640745.32026410743</v>
      </c>
      <c r="I13" s="22">
        <f t="shared" si="3"/>
        <v>5016254.6797358925</v>
      </c>
    </row>
    <row r="14" spans="1:9" ht="15.75" customHeight="1" x14ac:dyDescent="0.25">
      <c r="A14" s="7">
        <f t="shared" si="2"/>
        <v>2029</v>
      </c>
      <c r="B14" s="77">
        <v>548948.32320000022</v>
      </c>
      <c r="C14" s="78">
        <v>1192000</v>
      </c>
      <c r="D14" s="78">
        <v>1888000</v>
      </c>
      <c r="E14" s="78">
        <v>1509000</v>
      </c>
      <c r="F14" s="78">
        <v>1200000</v>
      </c>
      <c r="G14" s="22">
        <f t="shared" si="0"/>
        <v>5789000</v>
      </c>
      <c r="H14" s="22">
        <f t="shared" si="1"/>
        <v>644246.5633427928</v>
      </c>
      <c r="I14" s="22">
        <f t="shared" si="3"/>
        <v>5144753.4366572071</v>
      </c>
    </row>
    <row r="15" spans="1:9" ht="15.75" customHeight="1" x14ac:dyDescent="0.25">
      <c r="A15" s="7">
        <f t="shared" si="2"/>
        <v>2030</v>
      </c>
      <c r="B15" s="77">
        <v>551758.53700000001</v>
      </c>
      <c r="C15" s="78">
        <v>1213000</v>
      </c>
      <c r="D15" s="78">
        <v>1943000</v>
      </c>
      <c r="E15" s="78">
        <v>1527000</v>
      </c>
      <c r="F15" s="78">
        <v>1233000</v>
      </c>
      <c r="G15" s="22">
        <f t="shared" si="0"/>
        <v>5916000</v>
      </c>
      <c r="H15" s="22">
        <f t="shared" si="1"/>
        <v>647544.63441140368</v>
      </c>
      <c r="I15" s="22">
        <f t="shared" si="3"/>
        <v>5268455.3655885961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129.09616255788791</v>
      </c>
      <c r="I17" s="22">
        <f t="shared" si="4"/>
        <v>-129.09616255788791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3.3447966750000002E-2</v>
      </c>
    </row>
    <row r="4" spans="1:8" ht="15.75" customHeight="1" x14ac:dyDescent="0.25">
      <c r="B4" s="24" t="s">
        <v>7</v>
      </c>
      <c r="C4" s="79">
        <v>0.17808429183039692</v>
      </c>
    </row>
    <row r="5" spans="1:8" ht="15.75" customHeight="1" x14ac:dyDescent="0.25">
      <c r="B5" s="24" t="s">
        <v>8</v>
      </c>
      <c r="C5" s="79">
        <v>0.19694927168518356</v>
      </c>
    </row>
    <row r="6" spans="1:8" ht="15.75" customHeight="1" x14ac:dyDescent="0.25">
      <c r="B6" s="24" t="s">
        <v>10</v>
      </c>
      <c r="C6" s="79">
        <v>8.5965495754370042E-2</v>
      </c>
    </row>
    <row r="7" spans="1:8" ht="15.75" customHeight="1" x14ac:dyDescent="0.25">
      <c r="B7" s="24" t="s">
        <v>13</v>
      </c>
      <c r="C7" s="79">
        <v>0.17451024748646549</v>
      </c>
    </row>
    <row r="8" spans="1:8" ht="15.75" customHeight="1" x14ac:dyDescent="0.25">
      <c r="B8" s="24" t="s">
        <v>14</v>
      </c>
      <c r="C8" s="79">
        <v>1.6401775836995218E-4</v>
      </c>
    </row>
    <row r="9" spans="1:8" ht="15.75" customHeight="1" x14ac:dyDescent="0.25">
      <c r="B9" s="24" t="s">
        <v>27</v>
      </c>
      <c r="C9" s="79">
        <v>5.4697890726334075E-2</v>
      </c>
    </row>
    <row r="10" spans="1:8" ht="15.75" customHeight="1" x14ac:dyDescent="0.25">
      <c r="B10" s="24" t="s">
        <v>15</v>
      </c>
      <c r="C10" s="79">
        <v>0.27618081800888006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0.14487831022685799</v>
      </c>
      <c r="D14" s="79">
        <v>0.14487831022685799</v>
      </c>
      <c r="E14" s="79">
        <v>0.15509516177020199</v>
      </c>
      <c r="F14" s="79">
        <v>0.15509516177020199</v>
      </c>
    </row>
    <row r="15" spans="1:8" ht="15.75" customHeight="1" x14ac:dyDescent="0.25">
      <c r="B15" s="24" t="s">
        <v>16</v>
      </c>
      <c r="C15" s="79">
        <v>0.38360033131709897</v>
      </c>
      <c r="D15" s="79">
        <v>0.38360033131709897</v>
      </c>
      <c r="E15" s="79">
        <v>0.17236959551369696</v>
      </c>
      <c r="F15" s="79">
        <v>0.17236959551369696</v>
      </c>
    </row>
    <row r="16" spans="1:8" ht="15.75" customHeight="1" x14ac:dyDescent="0.25">
      <c r="B16" s="24" t="s">
        <v>17</v>
      </c>
      <c r="C16" s="79">
        <v>3.4878698041291498E-2</v>
      </c>
      <c r="D16" s="79">
        <v>3.4878698041291498E-2</v>
      </c>
      <c r="E16" s="79">
        <v>3.0605654024587602E-2</v>
      </c>
      <c r="F16" s="79">
        <v>3.0605654024587602E-2</v>
      </c>
    </row>
    <row r="17" spans="1:8" ht="15.75" customHeight="1" x14ac:dyDescent="0.25">
      <c r="B17" s="24" t="s">
        <v>18</v>
      </c>
      <c r="C17" s="79">
        <v>7.76290129361618E-3</v>
      </c>
      <c r="D17" s="79">
        <v>7.76290129361618E-3</v>
      </c>
      <c r="E17" s="79">
        <v>2.3914909323272903E-2</v>
      </c>
      <c r="F17" s="79">
        <v>2.3914909323272903E-2</v>
      </c>
    </row>
    <row r="18" spans="1:8" ht="15.75" customHeight="1" x14ac:dyDescent="0.25">
      <c r="B18" s="24" t="s">
        <v>19</v>
      </c>
      <c r="C18" s="79">
        <v>1.14274505281664E-2</v>
      </c>
      <c r="D18" s="79">
        <v>1.14274505281664E-2</v>
      </c>
      <c r="E18" s="79">
        <v>5.1211821504129201E-2</v>
      </c>
      <c r="F18" s="79">
        <v>5.1211821504129201E-2</v>
      </c>
    </row>
    <row r="19" spans="1:8" ht="15.75" customHeight="1" x14ac:dyDescent="0.25">
      <c r="B19" s="24" t="s">
        <v>20</v>
      </c>
      <c r="C19" s="79">
        <v>2.4344095240845499E-2</v>
      </c>
      <c r="D19" s="79">
        <v>2.4344095240845499E-2</v>
      </c>
      <c r="E19" s="79">
        <v>3.1782549079494599E-2</v>
      </c>
      <c r="F19" s="79">
        <v>3.1782549079494599E-2</v>
      </c>
    </row>
    <row r="20" spans="1:8" ht="15.75" customHeight="1" x14ac:dyDescent="0.25">
      <c r="B20" s="24" t="s">
        <v>21</v>
      </c>
      <c r="C20" s="79">
        <v>7.2384040640098096E-2</v>
      </c>
      <c r="D20" s="79">
        <v>7.2384040640098096E-2</v>
      </c>
      <c r="E20" s="79">
        <v>3.4598956612140401E-2</v>
      </c>
      <c r="F20" s="79">
        <v>3.4598956612140401E-2</v>
      </c>
    </row>
    <row r="21" spans="1:8" ht="15.75" customHeight="1" x14ac:dyDescent="0.25">
      <c r="B21" s="24" t="s">
        <v>22</v>
      </c>
      <c r="C21" s="79">
        <v>3.2769153597571897E-2</v>
      </c>
      <c r="D21" s="79">
        <v>3.2769153597571897E-2</v>
      </c>
      <c r="E21" s="79">
        <v>8.5144325406235705E-2</v>
      </c>
      <c r="F21" s="79">
        <v>8.5144325406235705E-2</v>
      </c>
    </row>
    <row r="22" spans="1:8" ht="15.75" customHeight="1" x14ac:dyDescent="0.25">
      <c r="B22" s="24" t="s">
        <v>23</v>
      </c>
      <c r="C22" s="79">
        <v>0.28795501911445343</v>
      </c>
      <c r="D22" s="79">
        <v>0.28795501911445343</v>
      </c>
      <c r="E22" s="79">
        <v>0.41527702676624056</v>
      </c>
      <c r="F22" s="79">
        <v>0.41527702676624056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3.6000000000000004E-2</v>
      </c>
    </row>
    <row r="27" spans="1:8" ht="15.75" customHeight="1" x14ac:dyDescent="0.25">
      <c r="B27" s="24" t="s">
        <v>39</v>
      </c>
      <c r="C27" s="79">
        <v>5.3E-3</v>
      </c>
    </row>
    <row r="28" spans="1:8" ht="15.75" customHeight="1" x14ac:dyDescent="0.25">
      <c r="B28" s="24" t="s">
        <v>40</v>
      </c>
      <c r="C28" s="79">
        <v>0.1502</v>
      </c>
    </row>
    <row r="29" spans="1:8" ht="15.75" customHeight="1" x14ac:dyDescent="0.25">
      <c r="B29" s="24" t="s">
        <v>41</v>
      </c>
      <c r="C29" s="79">
        <v>0.1235</v>
      </c>
    </row>
    <row r="30" spans="1:8" ht="15.75" customHeight="1" x14ac:dyDescent="0.25">
      <c r="B30" s="24" t="s">
        <v>42</v>
      </c>
      <c r="C30" s="79">
        <v>8.8000000000000009E-2</v>
      </c>
    </row>
    <row r="31" spans="1:8" ht="15.75" customHeight="1" x14ac:dyDescent="0.25">
      <c r="B31" s="24" t="s">
        <v>43</v>
      </c>
      <c r="C31" s="79">
        <v>8.5800000000000001E-2</v>
      </c>
    </row>
    <row r="32" spans="1:8" ht="15.75" customHeight="1" x14ac:dyDescent="0.25">
      <c r="B32" s="24" t="s">
        <v>44</v>
      </c>
      <c r="C32" s="79">
        <v>9.7999999999999997E-3</v>
      </c>
    </row>
    <row r="33" spans="2:3" ht="15.75" customHeight="1" x14ac:dyDescent="0.25">
      <c r="B33" s="24" t="s">
        <v>45</v>
      </c>
      <c r="C33" s="79">
        <v>0.11789999999999999</v>
      </c>
    </row>
    <row r="34" spans="2:3" ht="15.75" customHeight="1" x14ac:dyDescent="0.25">
      <c r="B34" s="24" t="s">
        <v>46</v>
      </c>
      <c r="C34" s="79">
        <v>0.38350000000223516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0.57682600948055385</v>
      </c>
      <c r="D2" s="80">
        <v>0.57682600948055385</v>
      </c>
      <c r="E2" s="80">
        <v>0.55310486643804013</v>
      </c>
      <c r="F2" s="80">
        <v>0.34146404349071469</v>
      </c>
      <c r="G2" s="80">
        <v>0.31452376850684227</v>
      </c>
    </row>
    <row r="3" spans="1:15" ht="15.75" customHeight="1" x14ac:dyDescent="0.25">
      <c r="A3" s="5"/>
      <c r="B3" s="11" t="s">
        <v>118</v>
      </c>
      <c r="C3" s="80">
        <v>0.25037522949072455</v>
      </c>
      <c r="D3" s="80">
        <v>0.25037522949072455</v>
      </c>
      <c r="E3" s="80">
        <v>0.27409637253323832</v>
      </c>
      <c r="F3" s="80">
        <v>0.32666068900412304</v>
      </c>
      <c r="G3" s="80">
        <v>0.3536009639879954</v>
      </c>
    </row>
    <row r="4" spans="1:15" ht="15.75" customHeight="1" x14ac:dyDescent="0.25">
      <c r="A4" s="5"/>
      <c r="B4" s="11" t="s">
        <v>116</v>
      </c>
      <c r="C4" s="81">
        <v>0.10774510981790876</v>
      </c>
      <c r="D4" s="81">
        <v>0.10774510981790876</v>
      </c>
      <c r="E4" s="81">
        <v>0.10774510981790876</v>
      </c>
      <c r="F4" s="81">
        <v>0.21244082973531064</v>
      </c>
      <c r="G4" s="81">
        <v>0.21244082973531064</v>
      </c>
    </row>
    <row r="5" spans="1:15" ht="15.75" customHeight="1" x14ac:dyDescent="0.25">
      <c r="A5" s="5"/>
      <c r="B5" s="11" t="s">
        <v>119</v>
      </c>
      <c r="C5" s="81">
        <v>6.5053651210812843E-2</v>
      </c>
      <c r="D5" s="81">
        <v>6.5053651210812843E-2</v>
      </c>
      <c r="E5" s="81">
        <v>6.5053651210812843E-2</v>
      </c>
      <c r="F5" s="81">
        <v>0.11943443776985167</v>
      </c>
      <c r="G5" s="81">
        <v>0.11943443776985167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0.83395315129968461</v>
      </c>
      <c r="D8" s="80">
        <v>0.83395315129968461</v>
      </c>
      <c r="E8" s="80">
        <v>0.78245552458606127</v>
      </c>
      <c r="F8" s="80">
        <v>0.78419170809292504</v>
      </c>
      <c r="G8" s="80">
        <v>0.84985748660136062</v>
      </c>
    </row>
    <row r="9" spans="1:15" ht="15.75" customHeight="1" x14ac:dyDescent="0.25">
      <c r="B9" s="7" t="s">
        <v>121</v>
      </c>
      <c r="C9" s="80">
        <v>0.11699342770031546</v>
      </c>
      <c r="D9" s="80">
        <v>0.11699342770031546</v>
      </c>
      <c r="E9" s="80">
        <v>0.14261985841393876</v>
      </c>
      <c r="F9" s="80">
        <v>0.15942906390707495</v>
      </c>
      <c r="G9" s="80">
        <v>0.13228913706530612</v>
      </c>
    </row>
    <row r="10" spans="1:15" ht="15.75" customHeight="1" x14ac:dyDescent="0.25">
      <c r="B10" s="7" t="s">
        <v>122</v>
      </c>
      <c r="C10" s="81">
        <v>2.7616808000000003E-2</v>
      </c>
      <c r="D10" s="81">
        <v>2.7616808000000003E-2</v>
      </c>
      <c r="E10" s="81">
        <v>6.1113239999999999E-2</v>
      </c>
      <c r="F10" s="81">
        <v>3.2544742000000002E-2</v>
      </c>
      <c r="G10" s="81">
        <v>1.22495504E-2</v>
      </c>
    </row>
    <row r="11" spans="1:15" ht="15.75" customHeight="1" x14ac:dyDescent="0.25">
      <c r="B11" s="7" t="s">
        <v>123</v>
      </c>
      <c r="C11" s="81">
        <v>2.1436613000000004E-2</v>
      </c>
      <c r="D11" s="81">
        <v>2.1436613000000004E-2</v>
      </c>
      <c r="E11" s="81">
        <v>1.3811377E-2</v>
      </c>
      <c r="F11" s="81">
        <v>2.3834485999999998E-2</v>
      </c>
      <c r="G11" s="81">
        <v>5.6038259333333331E-3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0.76416372425000001</v>
      </c>
      <c r="D14" s="82">
        <v>0.73473477243899987</v>
      </c>
      <c r="E14" s="82">
        <v>0.73473477243899987</v>
      </c>
      <c r="F14" s="82">
        <v>0.43763231825400001</v>
      </c>
      <c r="G14" s="82">
        <v>0.43763231825400001</v>
      </c>
      <c r="H14" s="83">
        <v>0.67400000000000004</v>
      </c>
      <c r="I14" s="83">
        <v>0.32729477611940294</v>
      </c>
      <c r="J14" s="83">
        <v>0.31617910447761194</v>
      </c>
      <c r="K14" s="83">
        <v>0.33223507462686563</v>
      </c>
      <c r="L14" s="83">
        <v>0.254515929413</v>
      </c>
      <c r="M14" s="83">
        <v>0.21863517472899999</v>
      </c>
      <c r="N14" s="83">
        <v>0.2257161932915</v>
      </c>
      <c r="O14" s="83">
        <v>0.266368620045</v>
      </c>
    </row>
    <row r="15" spans="1:15" ht="15.75" customHeight="1" x14ac:dyDescent="0.25">
      <c r="B15" s="16" t="s">
        <v>68</v>
      </c>
      <c r="C15" s="80">
        <f>iron_deficiency_anaemia*C14</f>
        <v>0.32585447444074428</v>
      </c>
      <c r="D15" s="80">
        <f t="shared" ref="D15:O15" si="0">iron_deficiency_anaemia*D14</f>
        <v>0.31330538931487384</v>
      </c>
      <c r="E15" s="80">
        <f t="shared" si="0"/>
        <v>0.31330538931487384</v>
      </c>
      <c r="F15" s="80">
        <f t="shared" si="0"/>
        <v>0.18661504666804618</v>
      </c>
      <c r="G15" s="80">
        <f t="shared" si="0"/>
        <v>0.18661504666804618</v>
      </c>
      <c r="H15" s="80">
        <f t="shared" si="0"/>
        <v>0.2874068852046292</v>
      </c>
      <c r="I15" s="80">
        <f t="shared" si="0"/>
        <v>0.13956494384009502</v>
      </c>
      <c r="J15" s="80">
        <f t="shared" si="0"/>
        <v>0.13482500235118616</v>
      </c>
      <c r="K15" s="80">
        <f t="shared" si="0"/>
        <v>0.14167158450183231</v>
      </c>
      <c r="L15" s="80">
        <f t="shared" si="0"/>
        <v>0.10853060906164926</v>
      </c>
      <c r="M15" s="80">
        <f t="shared" si="0"/>
        <v>9.3230348019334927E-2</v>
      </c>
      <c r="N15" s="80">
        <f t="shared" si="0"/>
        <v>9.6249833908243376E-2</v>
      </c>
      <c r="O15" s="80">
        <f t="shared" si="0"/>
        <v>0.11358482997535431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0.47700000000000004</v>
      </c>
      <c r="D2" s="81">
        <v>0.47700000000000004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0.14099999999999999</v>
      </c>
      <c r="D3" s="81">
        <v>0.23300000000000001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0.28399999999999997</v>
      </c>
      <c r="D4" s="81">
        <v>0.28399999999999997</v>
      </c>
      <c r="E4" s="81">
        <v>0.7609999999999999</v>
      </c>
      <c r="F4" s="81">
        <v>0.91100000000000003</v>
      </c>
      <c r="G4" s="81">
        <v>0</v>
      </c>
    </row>
    <row r="5" spans="1:7" x14ac:dyDescent="0.25">
      <c r="B5" s="43" t="s">
        <v>169</v>
      </c>
      <c r="C5" s="80">
        <f>1-SUM(C2:C4)</f>
        <v>9.8000000000000087E-2</v>
      </c>
      <c r="D5" s="80">
        <f>1-SUM(D2:D4)</f>
        <v>6.0000000000000053E-3</v>
      </c>
      <c r="E5" s="80">
        <f>1-SUM(E2:E4)</f>
        <v>0.2390000000000001</v>
      </c>
      <c r="F5" s="80">
        <f>1-SUM(F2:F4)</f>
        <v>8.8999999999999968E-2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0.29308000000000001</v>
      </c>
      <c r="D2" s="144">
        <v>0.28717999999999999</v>
      </c>
      <c r="E2" s="144">
        <v>0.28137000000000001</v>
      </c>
      <c r="F2" s="144">
        <v>0.27565000000000001</v>
      </c>
      <c r="G2" s="144">
        <v>0.27001999999999998</v>
      </c>
      <c r="H2" s="144">
        <v>0.26447999999999999</v>
      </c>
      <c r="I2" s="144">
        <v>0.25903999999999999</v>
      </c>
      <c r="J2" s="144">
        <v>0.25372</v>
      </c>
      <c r="K2" s="144">
        <v>0.24850000000000003</v>
      </c>
      <c r="L2" s="144">
        <v>0.24342</v>
      </c>
      <c r="M2" s="144">
        <v>0.23848</v>
      </c>
      <c r="N2" s="144">
        <v>0.23368</v>
      </c>
      <c r="O2" s="144">
        <v>0.22899</v>
      </c>
      <c r="P2" s="144">
        <v>0.22440000000000002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2.5899999999999999E-2</v>
      </c>
      <c r="D4" s="144">
        <v>2.4990000000000002E-2</v>
      </c>
      <c r="E4" s="144">
        <v>2.41E-2</v>
      </c>
      <c r="F4" s="144">
        <v>2.3269999999999999E-2</v>
      </c>
      <c r="G4" s="144">
        <v>2.2480000000000003E-2</v>
      </c>
      <c r="H4" s="144">
        <v>2.1709999999999997E-2</v>
      </c>
      <c r="I4" s="144">
        <v>2.0979999999999999E-2</v>
      </c>
      <c r="J4" s="144">
        <v>2.0299999999999999E-2</v>
      </c>
      <c r="K4" s="144">
        <v>1.9640000000000001E-2</v>
      </c>
      <c r="L4" s="144">
        <v>1.9039999999999998E-2</v>
      </c>
      <c r="M4" s="144">
        <v>1.847E-2</v>
      </c>
      <c r="N4" s="144">
        <v>1.7940000000000001E-2</v>
      </c>
      <c r="O4" s="144">
        <v>1.7420000000000001E-2</v>
      </c>
      <c r="P4" s="144">
        <v>1.6920000000000001E-2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0.21216226661617624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0.15993284951297945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0.10209437612393064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0.47700000000000004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0.8610000000000001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56.134999999999998</v>
      </c>
      <c r="D13" s="143">
        <v>55.322000000000003</v>
      </c>
      <c r="E13" s="143">
        <v>54.54</v>
      </c>
      <c r="F13" s="143">
        <v>53.975000000000001</v>
      </c>
      <c r="G13" s="143">
        <v>53.424999999999997</v>
      </c>
      <c r="H13" s="143">
        <v>52.878</v>
      </c>
      <c r="I13" s="143">
        <v>52.390999999999998</v>
      </c>
      <c r="J13" s="143">
        <v>51.956000000000003</v>
      </c>
      <c r="K13" s="143">
        <v>51.579000000000001</v>
      </c>
      <c r="L13" s="143">
        <v>51.277999999999999</v>
      </c>
      <c r="M13" s="143">
        <v>51.042000000000002</v>
      </c>
      <c r="N13" s="143">
        <v>50.698999999999998</v>
      </c>
      <c r="O13" s="143">
        <v>50.688000000000002</v>
      </c>
      <c r="P13" s="143">
        <v>50.508000000000003</v>
      </c>
    </row>
    <row r="14" spans="1:16" x14ac:dyDescent="0.25">
      <c r="B14" s="16" t="s">
        <v>170</v>
      </c>
      <c r="C14" s="143">
        <f>maternal_mortality</f>
        <v>4.43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0.7</v>
      </c>
      <c r="E2" s="92">
        <f>food_insecure</f>
        <v>0.7</v>
      </c>
      <c r="F2" s="92">
        <f>food_insecure</f>
        <v>0.7</v>
      </c>
      <c r="G2" s="92">
        <f>food_insecure</f>
        <v>0.7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0.7</v>
      </c>
      <c r="F5" s="92">
        <f>food_insecure</f>
        <v>0.7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9.3769766655673076E-2</v>
      </c>
      <c r="D7" s="92">
        <f>diarrhoea_1_5mo/26</f>
        <v>0.13131213272615347</v>
      </c>
      <c r="E7" s="92">
        <f>diarrhoea_6_11mo/26</f>
        <v>0.13131213272615347</v>
      </c>
      <c r="F7" s="92">
        <f>diarrhoea_12_23mo/26</f>
        <v>9.1564132993461542E-2</v>
      </c>
      <c r="G7" s="92">
        <f>diarrhoea_24_59mo/26</f>
        <v>9.1564132993461542E-2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0.7</v>
      </c>
      <c r="F8" s="92">
        <f>food_insecure</f>
        <v>0.7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0.498</v>
      </c>
      <c r="E9" s="92">
        <f>IF(ISBLANK(comm_deliv), frac_children_health_facility,1)</f>
        <v>0.498</v>
      </c>
      <c r="F9" s="92">
        <f>IF(ISBLANK(comm_deliv), frac_children_health_facility,1)</f>
        <v>0.498</v>
      </c>
      <c r="G9" s="92">
        <f>IF(ISBLANK(comm_deliv), frac_children_health_facility,1)</f>
        <v>0.498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9.3769766655673076E-2</v>
      </c>
      <c r="D11" s="92">
        <f>diarrhoea_1_5mo/26</f>
        <v>0.13131213272615347</v>
      </c>
      <c r="E11" s="92">
        <f>diarrhoea_6_11mo/26</f>
        <v>0.13131213272615347</v>
      </c>
      <c r="F11" s="92">
        <f>diarrhoea_12_23mo/26</f>
        <v>9.1564132993461542E-2</v>
      </c>
      <c r="G11" s="92">
        <f>diarrhoea_24_59mo/26</f>
        <v>9.1564132993461542E-2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0.7</v>
      </c>
      <c r="I14" s="92">
        <f>food_insecure</f>
        <v>0.7</v>
      </c>
      <c r="J14" s="92">
        <f>food_insecure</f>
        <v>0.7</v>
      </c>
      <c r="K14" s="92">
        <f>food_insecure</f>
        <v>0.7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0.75700000000000001</v>
      </c>
      <c r="I17" s="92">
        <f>frac_PW_health_facility</f>
        <v>0.75700000000000001</v>
      </c>
      <c r="J17" s="92">
        <f>frac_PW_health_facility</f>
        <v>0.75700000000000001</v>
      </c>
      <c r="K17" s="92">
        <f>frac_PW_health_facility</f>
        <v>0.75700000000000001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0.54</v>
      </c>
      <c r="I18" s="92">
        <f>frac_malaria_risk</f>
        <v>0.54</v>
      </c>
      <c r="J18" s="92">
        <f>frac_malaria_risk</f>
        <v>0.54</v>
      </c>
      <c r="K18" s="92">
        <f>frac_malaria_risk</f>
        <v>0.54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0.14800000000000002</v>
      </c>
      <c r="M23" s="92">
        <f>famplan_unmet_need</f>
        <v>0.14800000000000002</v>
      </c>
      <c r="N23" s="92">
        <f>famplan_unmet_need</f>
        <v>0.14800000000000002</v>
      </c>
      <c r="O23" s="92">
        <f>famplan_unmet_need</f>
        <v>0.14800000000000002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0.35623378887176504</v>
      </c>
      <c r="M24" s="92">
        <f>(1-food_insecure)*(0.49)+food_insecure*(0.7)</f>
        <v>0.63700000000000001</v>
      </c>
      <c r="N24" s="92">
        <f>(1-food_insecure)*(0.49)+food_insecure*(0.7)</f>
        <v>0.63700000000000001</v>
      </c>
      <c r="O24" s="92">
        <f>(1-food_insecure)*(0.49)+food_insecure*(0.7)</f>
        <v>0.63700000000000001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0.15267162380218505</v>
      </c>
      <c r="M25" s="92">
        <f>(1-food_insecure)*(0.21)+food_insecure*(0.3)</f>
        <v>0.27300000000000002</v>
      </c>
      <c r="N25" s="92">
        <f>(1-food_insecure)*(0.21)+food_insecure*(0.3)</f>
        <v>0.27300000000000002</v>
      </c>
      <c r="O25" s="92">
        <f>(1-food_insecure)*(0.21)+food_insecure*(0.3)</f>
        <v>0.27300000000000002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5.0331304550170902E-2</v>
      </c>
      <c r="M26" s="92">
        <f>(1-food_insecure)*(0.3)</f>
        <v>9.0000000000000011E-2</v>
      </c>
      <c r="N26" s="92">
        <f>(1-food_insecure)*(0.3)</f>
        <v>9.0000000000000011E-2</v>
      </c>
      <c r="O26" s="92">
        <f>(1-food_insecure)*(0.3)</f>
        <v>9.0000000000000011E-2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0.44076328277587895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0.54</v>
      </c>
      <c r="D33" s="92">
        <f t="shared" si="3"/>
        <v>0.54</v>
      </c>
      <c r="E33" s="92">
        <f t="shared" si="3"/>
        <v>0.54</v>
      </c>
      <c r="F33" s="92">
        <f t="shared" si="3"/>
        <v>0.54</v>
      </c>
      <c r="G33" s="92">
        <f t="shared" si="3"/>
        <v>0.54</v>
      </c>
      <c r="H33" s="92">
        <f t="shared" si="3"/>
        <v>0.54</v>
      </c>
      <c r="I33" s="92">
        <f t="shared" si="3"/>
        <v>0.54</v>
      </c>
      <c r="J33" s="92">
        <f t="shared" si="3"/>
        <v>0.54</v>
      </c>
      <c r="K33" s="92">
        <f t="shared" si="3"/>
        <v>0.54</v>
      </c>
      <c r="L33" s="92">
        <f t="shared" si="3"/>
        <v>0.54</v>
      </c>
      <c r="M33" s="92">
        <f t="shared" si="3"/>
        <v>0.54</v>
      </c>
      <c r="N33" s="92">
        <f t="shared" si="3"/>
        <v>0.54</v>
      </c>
      <c r="O33" s="92">
        <f t="shared" si="3"/>
        <v>0.54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2020-03-24T06:51:06Z</dcterms:modified>
</cp:coreProperties>
</file>