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D0FE9F49-07E7-4776-A1D4-BB2D030CC2A3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<sst xmlns="http://schemas.openxmlformats.org/spreadsheetml/2006/main" count="1109" uniqueCount="272">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</sst>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1232274</v>
      </c>
    </row>
    <row r="8" spans="1:3" ht="15" customHeight="1" x14ac:dyDescent="0.25">
      <c r="B8" s="7" t="s">
        <v>106</v>
      </c>
      <c r="C8" s="66">
        <v>0.25</v>
      </c>
    </row>
    <row r="9" spans="1:3" ht="15" customHeight="1" x14ac:dyDescent="0.25">
      <c r="B9" s="9" t="s">
        <v>107</v>
      </c>
      <c r="C9" s="67">
        <v>7.2000000000000008E-2</v>
      </c>
    </row>
    <row r="10" spans="1:3" ht="15" customHeight="1" x14ac:dyDescent="0.25">
      <c r="B10" s="9" t="s">
        <v>105</v>
      </c>
      <c r="C10" s="67">
        <v>0.78792312620000005</v>
      </c>
    </row>
    <row r="11" spans="1:3" ht="15" customHeight="1" x14ac:dyDescent="0.25">
      <c r="B11" s="7" t="s">
        <v>108</v>
      </c>
      <c r="C11" s="66">
        <v>0.66599999999999993</v>
      </c>
    </row>
    <row r="12" spans="1:3" ht="15" customHeight="1" x14ac:dyDescent="0.25">
      <c r="B12" s="7" t="s">
        <v>109</v>
      </c>
      <c r="C12" s="66">
        <v>0.78099999999999992</v>
      </c>
    </row>
    <row r="13" spans="1:3" ht="15" customHeight="1" x14ac:dyDescent="0.25">
      <c r="B13" s="7" t="s">
        <v>110</v>
      </c>
      <c r="C13" s="66">
        <v>0.56000000000000005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7.2900000000000006E-2</v>
      </c>
    </row>
    <row r="24" spans="1:3" ht="15" customHeight="1" x14ac:dyDescent="0.25">
      <c r="B24" s="20" t="s">
        <v>102</v>
      </c>
      <c r="C24" s="67">
        <v>0.45439999999999997</v>
      </c>
    </row>
    <row r="25" spans="1:3" ht="15" customHeight="1" x14ac:dyDescent="0.25">
      <c r="B25" s="20" t="s">
        <v>103</v>
      </c>
      <c r="C25" s="67">
        <v>0.37469999999999998</v>
      </c>
    </row>
    <row r="26" spans="1:3" ht="15" customHeight="1" x14ac:dyDescent="0.25">
      <c r="B26" s="20" t="s">
        <v>104</v>
      </c>
      <c r="C26" s="67">
        <v>9.8000000000000004E-2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0.27399999999999997</v>
      </c>
    </row>
    <row r="30" spans="1:3" ht="14.25" customHeight="1" x14ac:dyDescent="0.25">
      <c r="B30" s="30" t="s">
        <v>76</v>
      </c>
      <c r="C30" s="69">
        <v>5.5999999999999994E-2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0.55100000000000005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28.3</v>
      </c>
    </row>
    <row r="38" spans="1:5" ht="15" customHeight="1" x14ac:dyDescent="0.25">
      <c r="B38" s="16" t="s">
        <v>91</v>
      </c>
      <c r="C38" s="68">
        <v>53.9</v>
      </c>
      <c r="D38" s="17"/>
      <c r="E38" s="18"/>
    </row>
    <row r="39" spans="1:5" ht="15" customHeight="1" x14ac:dyDescent="0.25">
      <c r="B39" s="16" t="s">
        <v>90</v>
      </c>
      <c r="C39" s="68">
        <v>71.7</v>
      </c>
      <c r="D39" s="17"/>
      <c r="E39" s="17"/>
    </row>
    <row r="40" spans="1:5" ht="15" customHeight="1" x14ac:dyDescent="0.25">
      <c r="B40" s="16" t="s">
        <v>171</v>
      </c>
      <c r="C40" s="68">
        <v>3.59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2.9399999999999999E-2</v>
      </c>
      <c r="D45" s="17"/>
    </row>
    <row r="46" spans="1:5" ht="15.75" customHeight="1" x14ac:dyDescent="0.25">
      <c r="B46" s="16" t="s">
        <v>11</v>
      </c>
      <c r="C46" s="67">
        <v>0.1116</v>
      </c>
      <c r="D46" s="17"/>
    </row>
    <row r="47" spans="1:5" ht="15.75" customHeight="1" x14ac:dyDescent="0.25">
      <c r="B47" s="16" t="s">
        <v>12</v>
      </c>
      <c r="C47" s="67">
        <v>0.31859999999999999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0.54039999999999999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3.5946833644849923</v>
      </c>
      <c r="D51" s="17"/>
    </row>
    <row r="52" spans="1:4" ht="15" customHeight="1" x14ac:dyDescent="0.25">
      <c r="B52" s="16" t="s">
        <v>125</v>
      </c>
      <c r="C52" s="65">
        <v>3.3401966376700001</v>
      </c>
    </row>
    <row r="53" spans="1:4" ht="15.75" customHeight="1" x14ac:dyDescent="0.25">
      <c r="B53" s="16" t="s">
        <v>126</v>
      </c>
      <c r="C53" s="65">
        <v>3.3401966376700001</v>
      </c>
    </row>
    <row r="54" spans="1:4" ht="15.75" customHeight="1" x14ac:dyDescent="0.25">
      <c r="B54" s="16" t="s">
        <v>127</v>
      </c>
      <c r="C54" s="65">
        <v>2.2227293644699997</v>
      </c>
    </row>
    <row r="55" spans="1:4" ht="15.75" customHeight="1" x14ac:dyDescent="0.25">
      <c r="B55" s="16" t="s">
        <v>128</v>
      </c>
      <c r="C55" s="65">
        <v>2.2227293644699997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0.39547381172696466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3.5946833644849923</v>
      </c>
      <c r="C2" s="26">
        <f>'Baseline year population inputs'!C52</f>
        <v>3.3401966376700001</v>
      </c>
      <c r="D2" s="26">
        <f>'Baseline year population inputs'!C53</f>
        <v>3.3401966376700001</v>
      </c>
      <c r="E2" s="26">
        <f>'Baseline year population inputs'!C54</f>
        <v>2.2227293644699997</v>
      </c>
      <c r="F2" s="26">
        <f>'Baseline year population inputs'!C55</f>
        <v>2.2227293644699997</v>
      </c>
    </row>
    <row r="3" spans="1:6" ht="15.75" customHeight="1" x14ac:dyDescent="0.25">
      <c r="A3" s="3" t="s">
        <v>65</v>
      </c>
      <c r="B3" s="26">
        <f>frac_mam_1month * 2.6</f>
        <v>0.14768000000000001</v>
      </c>
      <c r="C3" s="26">
        <f>frac_mam_1_5months * 2.6</f>
        <v>0.14768000000000001</v>
      </c>
      <c r="D3" s="26">
        <f>frac_mam_6_11months * 2.6</f>
        <v>0.18876000000000001</v>
      </c>
      <c r="E3" s="26">
        <f>frac_mam_12_23months * 2.6</f>
        <v>8.9959999999999998E-2</v>
      </c>
      <c r="F3" s="26">
        <f>frac_mam_24_59months * 2.6</f>
        <v>4.1340000000000002E-2</v>
      </c>
    </row>
    <row r="4" spans="1:6" ht="15.75" customHeight="1" x14ac:dyDescent="0.25">
      <c r="A4" s="3" t="s">
        <v>66</v>
      </c>
      <c r="B4" s="26">
        <f>frac_sam_1month * 2.6</f>
        <v>6.1620000000000008E-2</v>
      </c>
      <c r="C4" s="26">
        <f>frac_sam_1_5months * 2.6</f>
        <v>6.1620000000000008E-2</v>
      </c>
      <c r="D4" s="26">
        <f>frac_sam_6_11months * 2.6</f>
        <v>3.1980000000000001E-2</v>
      </c>
      <c r="E4" s="26">
        <f>frac_sam_12_23months * 2.6</f>
        <v>2.8860000000000004E-2</v>
      </c>
      <c r="F4" s="26">
        <f>frac_sam_24_59months * 2.6</f>
        <v>1.164566E-2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0.25</v>
      </c>
      <c r="E2" s="93">
        <f>food_insecure</f>
        <v>0.25</v>
      </c>
      <c r="F2" s="93">
        <f>food_insecure</f>
        <v>0.25</v>
      </c>
      <c r="G2" s="93">
        <f>food_insecure</f>
        <v>0.25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0.25</v>
      </c>
      <c r="F5" s="93">
        <f>food_insecure</f>
        <v>0.25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3.5946833644849923</v>
      </c>
      <c r="D7" s="93">
        <f>diarrhoea_1_5mo</f>
        <v>3.3401966376700001</v>
      </c>
      <c r="E7" s="93">
        <f>diarrhoea_6_11mo</f>
        <v>3.3401966376700001</v>
      </c>
      <c r="F7" s="93">
        <f>diarrhoea_12_23mo</f>
        <v>2.2227293644699997</v>
      </c>
      <c r="G7" s="93">
        <f>diarrhoea_24_59mo</f>
        <v>2.2227293644699997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0.25</v>
      </c>
      <c r="F8" s="93">
        <f>food_insecure</f>
        <v>0.25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3.5946833644849923</v>
      </c>
      <c r="D12" s="93">
        <f>diarrhoea_1_5mo</f>
        <v>3.3401966376700001</v>
      </c>
      <c r="E12" s="93">
        <f>diarrhoea_6_11mo</f>
        <v>3.3401966376700001</v>
      </c>
      <c r="F12" s="93">
        <f>diarrhoea_12_23mo</f>
        <v>2.2227293644699997</v>
      </c>
      <c r="G12" s="93">
        <f>diarrhoea_24_59mo</f>
        <v>2.2227293644699997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0.25</v>
      </c>
      <c r="I15" s="93">
        <f>food_insecure</f>
        <v>0.25</v>
      </c>
      <c r="J15" s="93">
        <f>food_insecure</f>
        <v>0.25</v>
      </c>
      <c r="K15" s="93">
        <f>food_insecure</f>
        <v>0.25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0.66599999999999993</v>
      </c>
      <c r="I18" s="93">
        <f>frac_PW_health_facility</f>
        <v>0.66599999999999993</v>
      </c>
      <c r="J18" s="93">
        <f>frac_PW_health_facility</f>
        <v>0.66599999999999993</v>
      </c>
      <c r="K18" s="93">
        <f>frac_PW_health_facility</f>
        <v>0.66599999999999993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7.2000000000000008E-2</v>
      </c>
      <c r="I19" s="93">
        <f>frac_malaria_risk</f>
        <v>7.2000000000000008E-2</v>
      </c>
      <c r="J19" s="93">
        <f>frac_malaria_risk</f>
        <v>7.2000000000000008E-2</v>
      </c>
      <c r="K19" s="93">
        <f>frac_malaria_risk</f>
        <v>7.2000000000000008E-2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0.56000000000000005</v>
      </c>
      <c r="M24" s="93">
        <f>famplan_unmet_need</f>
        <v>0.56000000000000005</v>
      </c>
      <c r="N24" s="93">
        <f>famplan_unmet_need</f>
        <v>0.56000000000000005</v>
      </c>
      <c r="O24" s="93">
        <f>famplan_unmet_need</f>
        <v>0.56000000000000005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0.11505170403649997</v>
      </c>
      <c r="M25" s="93">
        <f>(1-food_insecure)*(0.49)+food_insecure*(0.7)</f>
        <v>0.54249999999999998</v>
      </c>
      <c r="N25" s="93">
        <f>(1-food_insecure)*(0.49)+food_insecure*(0.7)</f>
        <v>0.54249999999999998</v>
      </c>
      <c r="O25" s="93">
        <f>(1-food_insecure)*(0.49)+food_insecure*(0.7)</f>
        <v>0.54249999999999998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4.9307873158499993E-2</v>
      </c>
      <c r="M26" s="93">
        <f>(1-food_insecure)*(0.21)+food_insecure*(0.3)</f>
        <v>0.23249999999999998</v>
      </c>
      <c r="N26" s="93">
        <f>(1-food_insecure)*(0.21)+food_insecure*(0.3)</f>
        <v>0.23249999999999998</v>
      </c>
      <c r="O26" s="93">
        <f>(1-food_insecure)*(0.21)+food_insecure*(0.3)</f>
        <v>0.23249999999999998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4.7717296604999987E-2</v>
      </c>
      <c r="M27" s="93">
        <f>(1-food_insecure)*(0.3)</f>
        <v>0.22499999999999998</v>
      </c>
      <c r="N27" s="93">
        <f>(1-food_insecure)*(0.3)</f>
        <v>0.22499999999999998</v>
      </c>
      <c r="O27" s="93">
        <f>(1-food_insecure)*(0.3)</f>
        <v>0.22499999999999998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0.78792312620000005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7.2000000000000008E-2</v>
      </c>
      <c r="D34" s="93">
        <f t="shared" si="3"/>
        <v>7.2000000000000008E-2</v>
      </c>
      <c r="E34" s="93">
        <f t="shared" si="3"/>
        <v>7.2000000000000008E-2</v>
      </c>
      <c r="F34" s="93">
        <f t="shared" si="3"/>
        <v>7.2000000000000008E-2</v>
      </c>
      <c r="G34" s="93">
        <f t="shared" si="3"/>
        <v>7.2000000000000008E-2</v>
      </c>
      <c r="H34" s="93">
        <f t="shared" si="3"/>
        <v>7.2000000000000008E-2</v>
      </c>
      <c r="I34" s="93">
        <f t="shared" si="3"/>
        <v>7.2000000000000008E-2</v>
      </c>
      <c r="J34" s="93">
        <f t="shared" si="3"/>
        <v>7.2000000000000008E-2</v>
      </c>
      <c r="K34" s="93">
        <f t="shared" si="3"/>
        <v>7.2000000000000008E-2</v>
      </c>
      <c r="L34" s="93">
        <f t="shared" si="3"/>
        <v>7.2000000000000008E-2</v>
      </c>
      <c r="M34" s="93">
        <f t="shared" si="3"/>
        <v>7.2000000000000008E-2</v>
      </c>
      <c r="N34" s="93">
        <f t="shared" si="3"/>
        <v>7.2000000000000008E-2</v>
      </c>
      <c r="O34" s="93">
        <f t="shared" si="3"/>
        <v>7.2000000000000008E-2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272985</v>
      </c>
      <c r="C2" s="75">
        <v>561000</v>
      </c>
      <c r="D2" s="75">
        <v>1040000</v>
      </c>
      <c r="E2" s="75">
        <v>888000</v>
      </c>
      <c r="F2" s="75">
        <v>582000</v>
      </c>
      <c r="G2" s="22">
        <f t="shared" ref="G2:G40" si="0">C2+D2+E2+F2</f>
        <v>3071000</v>
      </c>
      <c r="H2" s="22">
        <f t="shared" ref="H2:H40" si="1">(B2 + stillbirth*B2/(1000-stillbirth))/(1-abortion)</f>
        <v>321788.39305606141</v>
      </c>
      <c r="I2" s="22">
        <f>G2-H2</f>
        <v>2749211.6069439384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271929</v>
      </c>
      <c r="C3" s="75">
        <v>563000</v>
      </c>
      <c r="D3" s="75">
        <v>1046000</v>
      </c>
      <c r="E3" s="75">
        <v>900000</v>
      </c>
      <c r="F3" s="75">
        <v>606000</v>
      </c>
      <c r="G3" s="22">
        <f t="shared" si="0"/>
        <v>3115000</v>
      </c>
      <c r="H3" s="22">
        <f t="shared" si="1"/>
        <v>320543.60472312296</v>
      </c>
      <c r="I3" s="22">
        <f t="shared" ref="I3:I15" si="3">G3-H3</f>
        <v>2794456.3952768771</v>
      </c>
    </row>
    <row r="4" spans="1:9" ht="15.75" customHeight="1" x14ac:dyDescent="0.25">
      <c r="A4" s="92">
        <f t="shared" si="2"/>
        <v>2022</v>
      </c>
      <c r="B4" s="74">
        <v>271497</v>
      </c>
      <c r="C4" s="75">
        <v>566000</v>
      </c>
      <c r="D4" s="75">
        <v>1051000</v>
      </c>
      <c r="E4" s="75">
        <v>910000</v>
      </c>
      <c r="F4" s="75">
        <v>633000</v>
      </c>
      <c r="G4" s="22">
        <f t="shared" si="0"/>
        <v>3160000</v>
      </c>
      <c r="H4" s="22">
        <f t="shared" si="1"/>
        <v>320034.37313237548</v>
      </c>
      <c r="I4" s="22">
        <f t="shared" si="3"/>
        <v>2839965.6268676245</v>
      </c>
    </row>
    <row r="5" spans="1:9" ht="15.75" customHeight="1" x14ac:dyDescent="0.25">
      <c r="A5" s="92" t="str">
        <f t="shared" si="2"/>
        <v/>
      </c>
      <c r="B5" s="74">
        <v>255012.70759999997</v>
      </c>
      <c r="C5" s="75">
        <v>570000</v>
      </c>
      <c r="D5" s="75">
        <v>1056000</v>
      </c>
      <c r="E5" s="75">
        <v>917000</v>
      </c>
      <c r="F5" s="75">
        <v>662000</v>
      </c>
      <c r="G5" s="22">
        <f t="shared" si="0"/>
        <v>3205000</v>
      </c>
      <c r="H5" s="22">
        <f t="shared" si="1"/>
        <v>300603.07118515397</v>
      </c>
      <c r="I5" s="22">
        <f t="shared" si="3"/>
        <v>2904396.9288148461</v>
      </c>
    </row>
    <row r="6" spans="1:9" ht="15.75" customHeight="1" x14ac:dyDescent="0.25">
      <c r="A6" s="92" t="str">
        <f t="shared" si="2"/>
        <v/>
      </c>
      <c r="B6" s="74">
        <v>253524.21459999995</v>
      </c>
      <c r="C6" s="75">
        <v>572000</v>
      </c>
      <c r="D6" s="75">
        <v>1060000</v>
      </c>
      <c r="E6" s="75">
        <v>922000</v>
      </c>
      <c r="F6" s="75">
        <v>691000</v>
      </c>
      <c r="G6" s="22">
        <f t="shared" si="0"/>
        <v>3245000</v>
      </c>
      <c r="H6" s="22">
        <f t="shared" si="1"/>
        <v>298848.47012449056</v>
      </c>
      <c r="I6" s="22">
        <f t="shared" si="3"/>
        <v>2946151.5298755094</v>
      </c>
    </row>
    <row r="7" spans="1:9" ht="15.75" customHeight="1" x14ac:dyDescent="0.25">
      <c r="A7" s="92" t="str">
        <f t="shared" si="2"/>
        <v/>
      </c>
      <c r="B7" s="74">
        <v>251909.76199999999</v>
      </c>
      <c r="C7" s="75">
        <v>574000</v>
      </c>
      <c r="D7" s="75">
        <v>1066000</v>
      </c>
      <c r="E7" s="75">
        <v>928000</v>
      </c>
      <c r="F7" s="75">
        <v>718000</v>
      </c>
      <c r="G7" s="22">
        <f t="shared" si="0"/>
        <v>3286000</v>
      </c>
      <c r="H7" s="22">
        <f t="shared" si="1"/>
        <v>296945.39080577646</v>
      </c>
      <c r="I7" s="22">
        <f t="shared" si="3"/>
        <v>2989054.6091942238</v>
      </c>
    </row>
    <row r="8" spans="1:9" ht="15.75" customHeight="1" x14ac:dyDescent="0.25">
      <c r="A8" s="92" t="str">
        <f t="shared" si="2"/>
        <v/>
      </c>
      <c r="B8" s="74">
        <v>250596.114</v>
      </c>
      <c r="C8" s="75">
        <v>575000</v>
      </c>
      <c r="D8" s="75">
        <v>1070000</v>
      </c>
      <c r="E8" s="75">
        <v>936000</v>
      </c>
      <c r="F8" s="75">
        <v>743000</v>
      </c>
      <c r="G8" s="22">
        <f t="shared" si="0"/>
        <v>3324000</v>
      </c>
      <c r="H8" s="22">
        <f t="shared" si="1"/>
        <v>295396.89298003033</v>
      </c>
      <c r="I8" s="22">
        <f t="shared" si="3"/>
        <v>3028603.1070199697</v>
      </c>
    </row>
    <row r="9" spans="1:9" ht="15.75" customHeight="1" x14ac:dyDescent="0.25">
      <c r="A9" s="92" t="str">
        <f t="shared" si="2"/>
        <v/>
      </c>
      <c r="B9" s="74">
        <v>249190.14900000003</v>
      </c>
      <c r="C9" s="75">
        <v>575000</v>
      </c>
      <c r="D9" s="75">
        <v>1075000</v>
      </c>
      <c r="E9" s="75">
        <v>943000</v>
      </c>
      <c r="F9" s="75">
        <v>766000</v>
      </c>
      <c r="G9" s="22">
        <f t="shared" si="0"/>
        <v>3359000</v>
      </c>
      <c r="H9" s="22">
        <f t="shared" si="1"/>
        <v>293739.57401362906</v>
      </c>
      <c r="I9" s="22">
        <f t="shared" si="3"/>
        <v>3065260.425986371</v>
      </c>
    </row>
    <row r="10" spans="1:9" ht="15.75" customHeight="1" x14ac:dyDescent="0.25">
      <c r="A10" s="92" t="str">
        <f t="shared" si="2"/>
        <v/>
      </c>
      <c r="B10" s="74">
        <v>247632.53600000002</v>
      </c>
      <c r="C10" s="75">
        <v>574000</v>
      </c>
      <c r="D10" s="75">
        <v>1079000</v>
      </c>
      <c r="E10" s="75">
        <v>950000</v>
      </c>
      <c r="F10" s="75">
        <v>788000</v>
      </c>
      <c r="G10" s="22">
        <f t="shared" si="0"/>
        <v>3391000</v>
      </c>
      <c r="H10" s="22">
        <f t="shared" si="1"/>
        <v>291903.49589844601</v>
      </c>
      <c r="I10" s="22">
        <f t="shared" si="3"/>
        <v>3099096.5041015539</v>
      </c>
    </row>
    <row r="11" spans="1:9" ht="15.75" customHeight="1" x14ac:dyDescent="0.25">
      <c r="A11" s="92" t="str">
        <f t="shared" si="2"/>
        <v/>
      </c>
      <c r="B11" s="74">
        <v>245966.54900000006</v>
      </c>
      <c r="C11" s="75">
        <v>573000</v>
      </c>
      <c r="D11" s="75">
        <v>1083000</v>
      </c>
      <c r="E11" s="75">
        <v>957000</v>
      </c>
      <c r="F11" s="75">
        <v>807000</v>
      </c>
      <c r="G11" s="22">
        <f t="shared" si="0"/>
        <v>3420000</v>
      </c>
      <c r="H11" s="22">
        <f t="shared" si="1"/>
        <v>289939.66902304161</v>
      </c>
      <c r="I11" s="22">
        <f t="shared" si="3"/>
        <v>3130060.3309769584</v>
      </c>
    </row>
    <row r="12" spans="1:9" ht="15.75" customHeight="1" x14ac:dyDescent="0.25">
      <c r="A12" s="92" t="str">
        <f t="shared" si="2"/>
        <v/>
      </c>
      <c r="B12" s="74">
        <v>244194.04799999998</v>
      </c>
      <c r="C12" s="75">
        <v>572000</v>
      </c>
      <c r="D12" s="75">
        <v>1087000</v>
      </c>
      <c r="E12" s="75">
        <v>963000</v>
      </c>
      <c r="F12" s="75">
        <v>822000</v>
      </c>
      <c r="G12" s="22">
        <f t="shared" si="0"/>
        <v>3444000</v>
      </c>
      <c r="H12" s="22">
        <f t="shared" si="1"/>
        <v>287850.28591232019</v>
      </c>
      <c r="I12" s="22">
        <f t="shared" si="3"/>
        <v>3156149.71408768</v>
      </c>
    </row>
    <row r="13" spans="1:9" ht="15.75" customHeight="1" x14ac:dyDescent="0.25">
      <c r="A13" s="92" t="str">
        <f t="shared" si="2"/>
        <v/>
      </c>
      <c r="B13" s="74">
        <v>559000</v>
      </c>
      <c r="C13" s="75">
        <v>1034000</v>
      </c>
      <c r="D13" s="75">
        <v>872000</v>
      </c>
      <c r="E13" s="75">
        <v>562000</v>
      </c>
      <c r="F13" s="75">
        <v>0.10423640199999999</v>
      </c>
      <c r="G13" s="22">
        <f t="shared" si="0"/>
        <v>2468000.1042364021</v>
      </c>
      <c r="H13" s="22">
        <f t="shared" si="1"/>
        <v>658936.24821267964</v>
      </c>
      <c r="I13" s="22">
        <f t="shared" si="3"/>
        <v>1809063.8560237223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0.10423640199999999</v>
      </c>
    </row>
    <row r="4" spans="1:8" ht="15.75" customHeight="1" x14ac:dyDescent="0.25">
      <c r="B4" s="24" t="s">
        <v>7</v>
      </c>
      <c r="C4" s="76">
        <v>9.4021310462825275E-2</v>
      </c>
    </row>
    <row r="5" spans="1:8" ht="15.75" customHeight="1" x14ac:dyDescent="0.25">
      <c r="B5" s="24" t="s">
        <v>8</v>
      </c>
      <c r="C5" s="76">
        <v>0.14217644711809507</v>
      </c>
    </row>
    <row r="6" spans="1:8" ht="15.75" customHeight="1" x14ac:dyDescent="0.25">
      <c r="B6" s="24" t="s">
        <v>10</v>
      </c>
      <c r="C6" s="76">
        <v>0.11665434724551627</v>
      </c>
    </row>
    <row r="7" spans="1:8" ht="15.75" customHeight="1" x14ac:dyDescent="0.25">
      <c r="B7" s="24" t="s">
        <v>13</v>
      </c>
      <c r="C7" s="76">
        <v>0.13575800312173175</v>
      </c>
    </row>
    <row r="8" spans="1:8" ht="15.75" customHeight="1" x14ac:dyDescent="0.25">
      <c r="B8" s="24" t="s">
        <v>14</v>
      </c>
      <c r="C8" s="76">
        <v>3.37385656459675E-2</v>
      </c>
    </row>
    <row r="9" spans="1:8" ht="15.75" customHeight="1" x14ac:dyDescent="0.25">
      <c r="B9" s="24" t="s">
        <v>27</v>
      </c>
      <c r="C9" s="76">
        <v>0.174339595506731</v>
      </c>
    </row>
    <row r="10" spans="1:8" ht="15.75" customHeight="1" x14ac:dyDescent="0.25">
      <c r="B10" s="24" t="s">
        <v>15</v>
      </c>
      <c r="C10" s="76">
        <v>0.19907532889913315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0.28279354684427999</v>
      </c>
      <c r="D14" s="76">
        <v>0.28279354684427999</v>
      </c>
      <c r="E14" s="76">
        <v>0.16907481353006801</v>
      </c>
      <c r="F14" s="76">
        <v>0.16907481353006801</v>
      </c>
    </row>
    <row r="15" spans="1:8" ht="15.75" customHeight="1" x14ac:dyDescent="0.25">
      <c r="B15" s="24" t="s">
        <v>16</v>
      </c>
      <c r="C15" s="76">
        <v>0.22641696510645101</v>
      </c>
      <c r="D15" s="76">
        <v>0.22641696510645101</v>
      </c>
      <c r="E15" s="76">
        <v>0.15303820607765301</v>
      </c>
      <c r="F15" s="76">
        <v>0.15303820607765301</v>
      </c>
    </row>
    <row r="16" spans="1:8" ht="15.75" customHeight="1" x14ac:dyDescent="0.25">
      <c r="B16" s="24" t="s">
        <v>17</v>
      </c>
      <c r="C16" s="76">
        <v>4.9231653730787792E-2</v>
      </c>
      <c r="D16" s="76">
        <v>4.9231653730787792E-2</v>
      </c>
      <c r="E16" s="76">
        <v>4.6081462225539799E-2</v>
      </c>
      <c r="F16" s="76">
        <v>4.6081462225539799E-2</v>
      </c>
    </row>
    <row r="17" spans="1:8" ht="15.75" customHeight="1" x14ac:dyDescent="0.25">
      <c r="B17" s="24" t="s">
        <v>18</v>
      </c>
      <c r="C17" s="76">
        <v>3.5615770255377506E-6</v>
      </c>
      <c r="D17" s="76">
        <v>3.5615770255377506E-6</v>
      </c>
      <c r="E17" s="76">
        <v>1.38748300379639E-5</v>
      </c>
      <c r="F17" s="76">
        <v>1.38748300379639E-5</v>
      </c>
    </row>
    <row r="18" spans="1:8" ht="15.75" customHeight="1" x14ac:dyDescent="0.25">
      <c r="B18" s="24" t="s">
        <v>19</v>
      </c>
      <c r="C18" s="76">
        <v>4.1451467468697703E-5</v>
      </c>
      <c r="D18" s="76">
        <v>4.1451467468697703E-5</v>
      </c>
      <c r="E18" s="76">
        <v>1.1463303783310201E-4</v>
      </c>
      <c r="F18" s="76">
        <v>1.1463303783310201E-4</v>
      </c>
    </row>
    <row r="19" spans="1:8" ht="15.75" customHeight="1" x14ac:dyDescent="0.25">
      <c r="B19" s="24" t="s">
        <v>20</v>
      </c>
      <c r="C19" s="76">
        <v>4.11216732768327E-2</v>
      </c>
      <c r="D19" s="76">
        <v>4.11216732768327E-2</v>
      </c>
      <c r="E19" s="76">
        <v>6.5786335258440395E-2</v>
      </c>
      <c r="F19" s="76">
        <v>6.5786335258440395E-2</v>
      </c>
    </row>
    <row r="20" spans="1:8" ht="15.75" customHeight="1" x14ac:dyDescent="0.25">
      <c r="B20" s="24" t="s">
        <v>21</v>
      </c>
      <c r="C20" s="76">
        <v>1.75649751620434E-2</v>
      </c>
      <c r="D20" s="76">
        <v>1.75649751620434E-2</v>
      </c>
      <c r="E20" s="76">
        <v>8.7899300426062896E-3</v>
      </c>
      <c r="F20" s="76">
        <v>8.7899300426062896E-3</v>
      </c>
    </row>
    <row r="21" spans="1:8" ht="15.75" customHeight="1" x14ac:dyDescent="0.25">
      <c r="B21" s="24" t="s">
        <v>22</v>
      </c>
      <c r="C21" s="76">
        <v>6.5625468941798798E-2</v>
      </c>
      <c r="D21" s="76">
        <v>6.5625468941798798E-2</v>
      </c>
      <c r="E21" s="76">
        <v>0.22748998066971801</v>
      </c>
      <c r="F21" s="76">
        <v>0.22748998066971801</v>
      </c>
    </row>
    <row r="22" spans="1:8" ht="15.75" customHeight="1" x14ac:dyDescent="0.25">
      <c r="B22" s="24" t="s">
        <v>23</v>
      </c>
      <c r="C22" s="76">
        <v>0.31720070389331223</v>
      </c>
      <c r="D22" s="76">
        <v>0.31720070389331223</v>
      </c>
      <c r="E22" s="76">
        <v>0.32961076432810343</v>
      </c>
      <c r="F22" s="76">
        <v>0.32961076432810343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0.10369999999999999</v>
      </c>
    </row>
    <row r="27" spans="1:8" ht="15.75" customHeight="1" x14ac:dyDescent="0.25">
      <c r="B27" s="24" t="s">
        <v>39</v>
      </c>
      <c r="C27" s="76">
        <v>0.1096</v>
      </c>
    </row>
    <row r="28" spans="1:8" ht="15.75" customHeight="1" x14ac:dyDescent="0.25">
      <c r="B28" s="24" t="s">
        <v>40</v>
      </c>
      <c r="C28" s="76">
        <v>6.2400000000000004E-2</v>
      </c>
    </row>
    <row r="29" spans="1:8" ht="15.75" customHeight="1" x14ac:dyDescent="0.25">
      <c r="B29" s="24" t="s">
        <v>41</v>
      </c>
      <c r="C29" s="76">
        <v>0.20199999999999999</v>
      </c>
    </row>
    <row r="30" spans="1:8" ht="15.75" customHeight="1" x14ac:dyDescent="0.25">
      <c r="B30" s="24" t="s">
        <v>42</v>
      </c>
      <c r="C30" s="76">
        <v>0.1235</v>
      </c>
    </row>
    <row r="31" spans="1:8" ht="15.75" customHeight="1" x14ac:dyDescent="0.25">
      <c r="B31" s="24" t="s">
        <v>43</v>
      </c>
      <c r="C31" s="76">
        <v>0.12609999999999999</v>
      </c>
    </row>
    <row r="32" spans="1:8" ht="15.75" customHeight="1" x14ac:dyDescent="0.25">
      <c r="B32" s="24" t="s">
        <v>44</v>
      </c>
      <c r="C32" s="76">
        <v>1.7899999999999999E-2</v>
      </c>
    </row>
    <row r="33" spans="2:3" ht="15.75" customHeight="1" x14ac:dyDescent="0.25">
      <c r="B33" s="24" t="s">
        <v>45</v>
      </c>
      <c r="C33" s="76">
        <v>0.13369999999999999</v>
      </c>
    </row>
    <row r="34" spans="2:3" ht="15.75" customHeight="1" x14ac:dyDescent="0.25">
      <c r="B34" s="24" t="s">
        <v>46</v>
      </c>
      <c r="C34" s="76">
        <v>0.12110000000223517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0.67814207906666657</v>
      </c>
      <c r="D2" s="77">
        <v>0.65090000000000003</v>
      </c>
      <c r="E2" s="77">
        <v>0.65549999999999997</v>
      </c>
      <c r="F2" s="77">
        <v>0.48080000000000001</v>
      </c>
      <c r="G2" s="77">
        <v>0.47289999999999999</v>
      </c>
    </row>
    <row r="3" spans="1:15" ht="15.75" customHeight="1" x14ac:dyDescent="0.25">
      <c r="A3" s="5"/>
      <c r="B3" s="11" t="s">
        <v>118</v>
      </c>
      <c r="C3" s="77">
        <v>0.20620000000000002</v>
      </c>
      <c r="D3" s="77">
        <v>0.20610000000000001</v>
      </c>
      <c r="E3" s="77">
        <v>0.2114</v>
      </c>
      <c r="F3" s="77">
        <v>0.29220000000000002</v>
      </c>
      <c r="G3" s="77">
        <v>0.28570000000000001</v>
      </c>
    </row>
    <row r="4" spans="1:15" ht="15.75" customHeight="1" x14ac:dyDescent="0.25">
      <c r="A4" s="5"/>
      <c r="B4" s="11" t="s">
        <v>116</v>
      </c>
      <c r="C4" s="78">
        <v>7.0000000000000007E-2</v>
      </c>
      <c r="D4" s="78">
        <v>7.0099999999999996E-2</v>
      </c>
      <c r="E4" s="78">
        <v>0.10589999999999999</v>
      </c>
      <c r="F4" s="78">
        <v>0.14199999999999999</v>
      </c>
      <c r="G4" s="78">
        <v>0.16239999999999999</v>
      </c>
    </row>
    <row r="5" spans="1:15" ht="15.75" customHeight="1" x14ac:dyDescent="0.25">
      <c r="A5" s="5"/>
      <c r="B5" s="11" t="s">
        <v>119</v>
      </c>
      <c r="C5" s="78">
        <v>7.2800000000000004E-2</v>
      </c>
      <c r="D5" s="78">
        <v>7.2900000000000006E-2</v>
      </c>
      <c r="E5" s="78">
        <v>2.7200000000000002E-2</v>
      </c>
      <c r="F5" s="78">
        <v>8.4900000000000003E-2</v>
      </c>
      <c r="G5" s="78">
        <v>7.9100000000000004E-2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0.78579999999999994</v>
      </c>
      <c r="D8" s="77">
        <v>0.78579999999999994</v>
      </c>
      <c r="E8" s="77">
        <v>0.7551000000000001</v>
      </c>
      <c r="F8" s="77">
        <v>0.79569999999999996</v>
      </c>
      <c r="G8" s="77">
        <v>0.87139999999999995</v>
      </c>
    </row>
    <row r="9" spans="1:15" ht="15.75" customHeight="1" x14ac:dyDescent="0.25">
      <c r="B9" s="7" t="s">
        <v>121</v>
      </c>
      <c r="C9" s="77">
        <v>0.13369999999999999</v>
      </c>
      <c r="D9" s="77">
        <v>0.13369999999999999</v>
      </c>
      <c r="E9" s="77">
        <v>0.16</v>
      </c>
      <c r="F9" s="77">
        <v>0.15859999999999999</v>
      </c>
      <c r="G9" s="77">
        <v>0.1082</v>
      </c>
    </row>
    <row r="10" spans="1:15" ht="15.75" customHeight="1" x14ac:dyDescent="0.25">
      <c r="B10" s="7" t="s">
        <v>122</v>
      </c>
      <c r="C10" s="78">
        <v>5.6799999999999996E-2</v>
      </c>
      <c r="D10" s="78">
        <v>5.6799999999999996E-2</v>
      </c>
      <c r="E10" s="78">
        <v>7.2599999999999998E-2</v>
      </c>
      <c r="F10" s="78">
        <v>3.4599999999999999E-2</v>
      </c>
      <c r="G10" s="78">
        <v>1.5900000000000001E-2</v>
      </c>
    </row>
    <row r="11" spans="1:15" ht="15.75" customHeight="1" x14ac:dyDescent="0.25">
      <c r="B11" s="7" t="s">
        <v>123</v>
      </c>
      <c r="C11" s="78">
        <v>2.3700000000000002E-2</v>
      </c>
      <c r="D11" s="78">
        <v>2.3700000000000002E-2</v>
      </c>
      <c r="E11" s="78">
        <v>1.23E-2</v>
      </c>
      <c r="F11" s="78">
        <v>1.11E-2</v>
      </c>
      <c r="G11" s="78">
        <v>4.4790999999999997E-3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0.83306406925000009</v>
      </c>
      <c r="D14" s="79">
        <v>0.81199289555200016</v>
      </c>
      <c r="E14" s="79">
        <v>0.81199289555200016</v>
      </c>
      <c r="F14" s="79">
        <v>0.67868807884899995</v>
      </c>
      <c r="G14" s="79">
        <v>0.67868807884899995</v>
      </c>
      <c r="H14" s="80">
        <v>0.52917000000000003</v>
      </c>
      <c r="I14" s="80">
        <v>0.52917000000000003</v>
      </c>
      <c r="J14" s="80">
        <v>0.52917000000000003</v>
      </c>
      <c r="K14" s="80">
        <v>0.52917000000000003</v>
      </c>
      <c r="L14" s="80">
        <v>0.46609</v>
      </c>
      <c r="M14" s="80">
        <v>0.46609</v>
      </c>
      <c r="N14" s="80">
        <v>0.46609</v>
      </c>
      <c r="O14" s="80">
        <v>0.46609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0.32945502287907358</v>
      </c>
      <c r="D15" s="77">
        <f t="shared" si="0"/>
        <v>0.32112192549916457</v>
      </c>
      <c r="E15" s="77">
        <f t="shared" si="0"/>
        <v>0.32112192549916457</v>
      </c>
      <c r="F15" s="77">
        <f t="shared" si="0"/>
        <v>0.26840336151606475</v>
      </c>
      <c r="G15" s="77">
        <f t="shared" si="0"/>
        <v>0.26840336151606475</v>
      </c>
      <c r="H15" s="77">
        <f t="shared" si="0"/>
        <v>0.20927287695155791</v>
      </c>
      <c r="I15" s="77">
        <f t="shared" si="0"/>
        <v>0.20927287695155791</v>
      </c>
      <c r="J15" s="77">
        <f t="shared" si="0"/>
        <v>0.20927287695155791</v>
      </c>
      <c r="K15" s="77">
        <f t="shared" si="0"/>
        <v>0.20927287695155791</v>
      </c>
      <c r="L15" s="77">
        <f t="shared" si="0"/>
        <v>0.18432638890782096</v>
      </c>
      <c r="M15" s="77">
        <f t="shared" si="0"/>
        <v>0.18432638890782096</v>
      </c>
      <c r="N15" s="77">
        <f t="shared" si="0"/>
        <v>0.18432638890782096</v>
      </c>
      <c r="O15" s="77">
        <f t="shared" si="0"/>
        <v>0.18432638890782096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0.6341</v>
      </c>
      <c r="D2" s="78">
        <v>0.2858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0.13390000000000002</v>
      </c>
      <c r="D3" s="78">
        <v>0.115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0.20569999999999999</v>
      </c>
      <c r="D4" s="78">
        <v>0.5494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2.629999999999999E-2</v>
      </c>
      <c r="D5" s="77">
        <f t="shared" ref="D5:G5" si="0">1-SUM(D2:D4)</f>
        <v>4.9800000000000066E-2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0.2167</v>
      </c>
      <c r="D2" s="28">
        <v>0.21939999999999998</v>
      </c>
      <c r="E2" s="28">
        <v>0.22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3.8153659999999999E-2</v>
      </c>
      <c r="D4" s="28">
        <v>3.7898099999999997E-2</v>
      </c>
      <c r="E4" s="28">
        <v>3.7898099999999997E-2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0.81199289555200016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0.52917000000000003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0.46609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0.2858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71.7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3.59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38.49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78.400000000000006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1.32</v>
      </c>
      <c r="E13" s="86" t="s">
        <v>201</v>
      </c>
    </row>
    <row r="14" spans="1:5" ht="15.75" customHeight="1" x14ac:dyDescent="0.25">
      <c r="A14" s="11" t="s">
        <v>189</v>
      </c>
      <c r="B14" s="85">
        <v>0.316</v>
      </c>
      <c r="C14" s="85">
        <v>0.95</v>
      </c>
      <c r="D14" s="86">
        <v>15.96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16.920000000000002</v>
      </c>
      <c r="E15" s="86" t="s">
        <v>201</v>
      </c>
    </row>
    <row r="16" spans="1:5" ht="15.75" customHeight="1" x14ac:dyDescent="0.25">
      <c r="A16" s="53" t="s">
        <v>57</v>
      </c>
      <c r="B16" s="85">
        <v>2E-3</v>
      </c>
      <c r="C16" s="85">
        <v>0.95</v>
      </c>
      <c r="D16" s="86">
        <v>54.15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0.27</v>
      </c>
      <c r="E17" s="86" t="s">
        <v>201</v>
      </c>
    </row>
    <row r="18" spans="1:5" ht="15.75" customHeight="1" x14ac:dyDescent="0.25">
      <c r="A18" s="53" t="s">
        <v>175</v>
      </c>
      <c r="B18" s="85">
        <v>0.23399999999999999</v>
      </c>
      <c r="C18" s="85">
        <v>0.95</v>
      </c>
      <c r="D18" s="86">
        <v>1.92</v>
      </c>
      <c r="E18" s="86" t="s">
        <v>201</v>
      </c>
    </row>
    <row r="19" spans="1:5" ht="15.75" customHeight="1" x14ac:dyDescent="0.25">
      <c r="A19" s="53" t="s">
        <v>174</v>
      </c>
      <c r="B19" s="85">
        <v>0.19600000000000001</v>
      </c>
      <c r="C19" s="85">
        <v>0.95</v>
      </c>
      <c r="D19" s="86">
        <v>2.0299999999999998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1.21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27.2</v>
      </c>
      <c r="E22" s="86" t="s">
        <v>201</v>
      </c>
    </row>
    <row r="23" spans="1:5" ht="15.75" customHeight="1" x14ac:dyDescent="0.25">
      <c r="A23" s="53" t="s">
        <v>34</v>
      </c>
      <c r="B23" s="85">
        <v>0.32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23.04</v>
      </c>
      <c r="E24" s="86" t="s">
        <v>201</v>
      </c>
    </row>
    <row r="25" spans="1:5" ht="15.75" customHeight="1" x14ac:dyDescent="0.25">
      <c r="A25" s="53" t="s">
        <v>87</v>
      </c>
      <c r="B25" s="85">
        <v>0.17100000000000001</v>
      </c>
      <c r="C25" s="85">
        <v>0.95</v>
      </c>
      <c r="D25" s="86">
        <v>23.05</v>
      </c>
      <c r="E25" s="86" t="s">
        <v>201</v>
      </c>
    </row>
    <row r="26" spans="1:5" ht="15.75" customHeight="1" x14ac:dyDescent="0.25">
      <c r="A26" s="53" t="s">
        <v>137</v>
      </c>
      <c r="B26" s="85">
        <v>0.43200000000000005</v>
      </c>
      <c r="C26" s="85">
        <v>0.95</v>
      </c>
      <c r="D26" s="86">
        <v>5.21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4.25</v>
      </c>
      <c r="E27" s="86" t="s">
        <v>201</v>
      </c>
    </row>
    <row r="28" spans="1:5" ht="15.75" customHeight="1" x14ac:dyDescent="0.25">
      <c r="A28" s="53" t="s">
        <v>84</v>
      </c>
      <c r="B28" s="85">
        <v>0.39299999999999996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0.19600000000000001</v>
      </c>
      <c r="C29" s="85">
        <v>0.95</v>
      </c>
      <c r="D29" s="86">
        <v>67.930000000000007</v>
      </c>
      <c r="E29" s="86" t="s">
        <v>201</v>
      </c>
    </row>
    <row r="30" spans="1:5" ht="15.75" customHeight="1" x14ac:dyDescent="0.25">
      <c r="A30" s="53" t="s">
        <v>67</v>
      </c>
      <c r="B30" s="85">
        <v>0.13600000000000001</v>
      </c>
      <c r="C30" s="85">
        <v>0.95</v>
      </c>
      <c r="D30" s="86">
        <v>286.95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304.17</v>
      </c>
      <c r="E31" s="86" t="s">
        <v>201</v>
      </c>
    </row>
    <row r="32" spans="1:5" ht="15.75" customHeight="1" x14ac:dyDescent="0.25">
      <c r="A32" s="53" t="s">
        <v>28</v>
      </c>
      <c r="B32" s="85">
        <v>0.13100000000000001</v>
      </c>
      <c r="C32" s="85">
        <v>0.95</v>
      </c>
      <c r="D32" s="86">
        <v>0.52</v>
      </c>
      <c r="E32" s="86" t="s">
        <v>201</v>
      </c>
    </row>
    <row r="33" spans="1:6" ht="15.75" customHeight="1" x14ac:dyDescent="0.25">
      <c r="A33" s="53" t="s">
        <v>83</v>
      </c>
      <c r="B33" s="85">
        <v>0.215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0.63900000000000001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0.34700000000000003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0.65500000000000003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6.2E-2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0.55000000000000004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2020-08-31T04:53:20Z</dcterms:modified>
</cp:coreProperties>
</file>