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6180" yWindow="-21135" windowWidth="20730" windowHeight="11760" tabRatio="961" firstSheet="1" activeTab="5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33" r:id="rId8"/>
    <sheet name="Birth outcome risks" sheetId="6" r:id="rId9"/>
    <sheet name="Relative risks" sheetId="26" r:id="rId10"/>
    <sheet name="Odds ratios" sheetId="27" r:id="rId11"/>
    <sheet name="Incidence of conditions" sheetId="7" r:id="rId12"/>
    <sheet name="Prevalence of anaemia" sheetId="29" r:id="rId13"/>
    <sheet name="IYCF package odds ratios" sheetId="32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49" r:id="rId30"/>
    <sheet name="Reference programs" sheetId="48" r:id="rId31"/>
    <sheet name="Programs to include" sheetId="44" r:id="rId32"/>
  </sheets>
  <externalReferences>
    <externalReference r:id="rId33"/>
  </externalReferences>
  <definedNames>
    <definedName name="abortion">'Baseline year population inputs'!$C$26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inputs'!$C$29</definedName>
    <definedName name="iron_deficiency_anaemia">'Baseline year population inputs'!$C$47</definedName>
    <definedName name="maternal_mortality">'Baseline year population inputs'!$C$25</definedName>
    <definedName name="neonatal_mortality">'Baseline year population inputs'!$C$28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>'Baseline year population inputs'!$C$27</definedName>
    <definedName name="term_AGA">'Baseline year population inputs'!$C$36</definedName>
    <definedName name="term_SGA">'Baseline year population inputs'!$C$35</definedName>
    <definedName name="U5_mortality">'Baseline year population inputs'!$C$30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21" l="1"/>
  <c r="L35" i="21"/>
  <c r="L34" i="21"/>
  <c r="L33" i="21"/>
  <c r="L32" i="21"/>
  <c r="L31" i="21"/>
  <c r="L30" i="21"/>
  <c r="L28" i="21"/>
  <c r="L27" i="21"/>
  <c r="L26" i="21"/>
  <c r="L24" i="21"/>
  <c r="L23" i="21"/>
  <c r="O51" i="21" l="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E50" i="21"/>
  <c r="O52" i="21"/>
  <c r="N52" i="21"/>
  <c r="M52" i="21"/>
  <c r="L52" i="21"/>
  <c r="K52" i="21"/>
  <c r="J52" i="21"/>
  <c r="I52" i="21"/>
  <c r="H52" i="21"/>
  <c r="G52" i="21"/>
  <c r="F52" i="21"/>
  <c r="E52" i="21"/>
  <c r="L29" i="21"/>
  <c r="L25" i="21"/>
  <c r="L22" i="21"/>
  <c r="O35" i="21"/>
  <c r="N35" i="21"/>
  <c r="M35" i="21"/>
  <c r="O34" i="21"/>
  <c r="N34" i="21"/>
  <c r="M34" i="21"/>
  <c r="O33" i="21"/>
  <c r="N33" i="21"/>
  <c r="M33" i="21"/>
  <c r="O31" i="21"/>
  <c r="N31" i="21"/>
  <c r="M31" i="21"/>
  <c r="O30" i="21"/>
  <c r="N30" i="21"/>
  <c r="M30" i="21"/>
  <c r="O28" i="21"/>
  <c r="N28" i="21"/>
  <c r="M28" i="21"/>
  <c r="O27" i="21"/>
  <c r="N27" i="21"/>
  <c r="M27" i="21"/>
  <c r="O26" i="21"/>
  <c r="N26" i="21"/>
  <c r="M26" i="21"/>
  <c r="O24" i="21"/>
  <c r="N24" i="21"/>
  <c r="M24" i="21"/>
  <c r="O23" i="21"/>
  <c r="N23" i="21"/>
  <c r="M23" i="21"/>
  <c r="K15" i="21"/>
  <c r="J15" i="21"/>
  <c r="I15" i="21"/>
  <c r="H15" i="21"/>
  <c r="G11" i="21"/>
  <c r="F11" i="21"/>
  <c r="E11" i="21"/>
  <c r="D11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0" i="21"/>
  <c r="F10" i="21"/>
  <c r="E10" i="21"/>
  <c r="G9" i="21"/>
  <c r="F9" i="21"/>
  <c r="E9" i="21"/>
  <c r="F8" i="21"/>
  <c r="E8" i="21"/>
  <c r="F7" i="21"/>
  <c r="E7" i="21"/>
  <c r="F6" i="21"/>
  <c r="E6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8" i="5"/>
  <c r="F8" i="5"/>
  <c r="E8" i="5"/>
  <c r="D8" i="5"/>
  <c r="C8" i="5"/>
  <c r="G2" i="5"/>
  <c r="F2" i="5"/>
  <c r="E2" i="5"/>
  <c r="D2" i="5"/>
  <c r="C2" i="5"/>
  <c r="G5" i="50"/>
  <c r="F5" i="50"/>
  <c r="E5" i="50"/>
  <c r="D5" i="50"/>
  <c r="C5" i="50"/>
  <c r="C17" i="42"/>
  <c r="C11" i="42"/>
  <c r="E13" i="27"/>
  <c r="F13" i="27"/>
  <c r="C36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C15" i="1"/>
  <c r="A106" i="49" l="1"/>
  <c r="A107" i="49" s="1"/>
  <c r="A104" i="49"/>
  <c r="A105" i="49" s="1"/>
  <c r="A102" i="49"/>
  <c r="A103" i="49" s="1"/>
  <c r="A100" i="49"/>
  <c r="A101" i="49" s="1"/>
  <c r="A98" i="49"/>
  <c r="A99" i="49" s="1"/>
  <c r="A96" i="49"/>
  <c r="A97" i="49" s="1"/>
  <c r="A94" i="49"/>
  <c r="A95" i="49" s="1"/>
  <c r="A92" i="49"/>
  <c r="A93" i="49" s="1"/>
  <c r="A90" i="49"/>
  <c r="A91" i="49" s="1"/>
  <c r="A88" i="49"/>
  <c r="A89" i="49" s="1"/>
  <c r="A86" i="49"/>
  <c r="A87" i="49" s="1"/>
  <c r="A84" i="49"/>
  <c r="A85" i="49" s="1"/>
  <c r="A82" i="49"/>
  <c r="A83" i="49" s="1"/>
  <c r="A80" i="49"/>
  <c r="A81" i="49" s="1"/>
  <c r="A78" i="49"/>
  <c r="A79" i="49" s="1"/>
  <c r="A76" i="49"/>
  <c r="A77" i="49" s="1"/>
  <c r="A74" i="49"/>
  <c r="A75" i="49" s="1"/>
  <c r="A72" i="49"/>
  <c r="A73" i="49" s="1"/>
  <c r="A70" i="49"/>
  <c r="A71" i="49" s="1"/>
  <c r="A68" i="49"/>
  <c r="A69" i="49" s="1"/>
  <c r="A66" i="49"/>
  <c r="A67" i="49" s="1"/>
  <c r="A64" i="49"/>
  <c r="A65" i="49" s="1"/>
  <c r="A62" i="49"/>
  <c r="A63" i="49" s="1"/>
  <c r="A60" i="49"/>
  <c r="A61" i="49" s="1"/>
  <c r="A58" i="49"/>
  <c r="A59" i="49" s="1"/>
  <c r="A56" i="49"/>
  <c r="A57" i="49" s="1"/>
  <c r="A54" i="49"/>
  <c r="A55" i="49" s="1"/>
  <c r="A52" i="49"/>
  <c r="A53" i="49" s="1"/>
  <c r="A50" i="49"/>
  <c r="A51" i="49" s="1"/>
  <c r="A48" i="49"/>
  <c r="A49" i="49" s="1"/>
  <c r="A46" i="49"/>
  <c r="A47" i="49" s="1"/>
  <c r="A44" i="49"/>
  <c r="A45" i="49" s="1"/>
  <c r="A42" i="49"/>
  <c r="A43" i="49" s="1"/>
  <c r="A40" i="49"/>
  <c r="A41" i="49" s="1"/>
  <c r="A38" i="49"/>
  <c r="A39" i="49" s="1"/>
  <c r="A36" i="49"/>
  <c r="A37" i="49" s="1"/>
  <c r="A34" i="49"/>
  <c r="A35" i="49" s="1"/>
  <c r="A32" i="49"/>
  <c r="A33" i="49" s="1"/>
  <c r="A30" i="49"/>
  <c r="A31" i="49" s="1"/>
  <c r="A28" i="49"/>
  <c r="A29" i="49" s="1"/>
  <c r="A26" i="49"/>
  <c r="A27" i="49" s="1"/>
  <c r="A24" i="49"/>
  <c r="A25" i="49" s="1"/>
  <c r="A22" i="49"/>
  <c r="A23" i="49" s="1"/>
  <c r="A20" i="49"/>
  <c r="A21" i="49" s="1"/>
  <c r="A18" i="49"/>
  <c r="A19" i="49" s="1"/>
  <c r="A16" i="49"/>
  <c r="A17" i="49" s="1"/>
  <c r="A14" i="49"/>
  <c r="A15" i="49" s="1"/>
  <c r="A12" i="49"/>
  <c r="A13" i="49" s="1"/>
  <c r="A10" i="49"/>
  <c r="A11" i="49" s="1"/>
  <c r="A8" i="49"/>
  <c r="A9" i="49" s="1"/>
  <c r="A6" i="49"/>
  <c r="A7" i="49" s="1"/>
  <c r="A4" i="49"/>
  <c r="A5" i="49" s="1"/>
  <c r="A2" i="49"/>
  <c r="A3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D43" i="20" s="1"/>
  <c r="B6" i="7"/>
  <c r="F5" i="7"/>
  <c r="E5" i="7"/>
  <c r="D5" i="7"/>
  <c r="D42" i="20" s="1"/>
  <c r="C5" i="7"/>
  <c r="B5" i="7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 s="1"/>
  <c r="H3" i="29"/>
  <c r="H2" i="29" s="1"/>
  <c r="I3" i="29"/>
  <c r="I2" i="29"/>
  <c r="J3" i="29"/>
  <c r="J2" i="29" s="1"/>
  <c r="K3" i="29"/>
  <c r="K2" i="29"/>
  <c r="L3" i="29"/>
  <c r="L2" i="29" s="1"/>
  <c r="M3" i="29"/>
  <c r="M2" i="29" s="1"/>
  <c r="N3" i="29"/>
  <c r="N2" i="29" s="1"/>
  <c r="C3" i="29"/>
  <c r="C2" i="29" s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5" i="20"/>
  <c r="I3" i="2"/>
  <c r="L3" i="2" s="1"/>
  <c r="I4" i="2"/>
  <c r="L4" i="2" s="1"/>
  <c r="I5" i="2"/>
  <c r="K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K13" i="2" s="1"/>
  <c r="I14" i="2"/>
  <c r="L14" i="2" s="1"/>
  <c r="I15" i="2"/>
  <c r="K15" i="2" s="1"/>
  <c r="I2" i="2"/>
  <c r="K2" i="2" s="1"/>
  <c r="L5" i="2"/>
  <c r="K9" i="2"/>
  <c r="L13" i="2" l="1"/>
  <c r="D6" i="20"/>
  <c r="K4" i="2"/>
  <c r="K12" i="2"/>
  <c r="K7" i="2"/>
  <c r="K11" i="2"/>
  <c r="K3" i="2"/>
  <c r="K8" i="2"/>
  <c r="L15" i="2"/>
  <c r="K6" i="2"/>
  <c r="K14" i="2"/>
  <c r="K10" i="2"/>
  <c r="L2" i="2"/>
</calcChain>
</file>

<file path=xl/comments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0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B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C1" authorId="0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5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7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sharedStrings.xml><?xml version="1.0" encoding="utf-8"?>
<sst xmlns="http://schemas.openxmlformats.org/spreadsheetml/2006/main" count="1509" uniqueCount="315">
  <si>
    <t>year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</si>
  <si>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</si>
  <si>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</si>
  <si>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</si>
  <si>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</si>
  <si>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</si>
  <si>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</si>
  <si>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</si>
  <si>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</si>
  <si>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</si>
  <si>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</si>
  <si>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</si>
  <si>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</si>
  <si>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</si>
  <si>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</si>
  <si>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</si>
  <si>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</si>
  <si>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</si>
  <si>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</si>
  <si>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</si>
  <si>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</si>
  <si>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</si>
  <si>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</si>
  <si>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</si>
  <si>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</si>
  <si>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</si>
  <si>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</si>
  <si>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</si>
  <si>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</si>
  <si>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</si>
  <si>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</si>
  <si>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</si>
  <si>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</si>
  <si>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</si>
  <si>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</si>
  <si>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</si>
  <si>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</si>
  <si>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</si>
  <si>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</si>
  <si>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</si>
  <si>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</si>
  <si>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</si>
  <si>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</si>
  <si>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</si>
  <si>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</si>
  <si>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</si>
  <si>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</si>
  <si>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</si>
  <si>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</si>
  <si>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Effectiveness mortality</t>
  </si>
  <si>
    <t>Effectiveness incidence</t>
  </si>
  <si>
    <t>Food</t>
  </si>
  <si>
    <t>Children</t>
  </si>
  <si>
    <t>Pregnant women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</si>
  <si>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</si>
  <si>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</si>
  <si>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</si>
  <si>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</si>
  <si>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</si>
  <si>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</si>
  <si>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</si>
  <si>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</si>
  <si>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</si>
  <si>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</si>
  <si>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</si>
  <si>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</si>
  <si>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</si>
  <si>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</si>
  <si>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</si>
  <si>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</si>
  <si>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</si>
  <si>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</si>
  <si>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</si>
  <si>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All</t>
  </si>
  <si>
    <t>Population data</t>
  </si>
  <si>
    <t>Affected fraction</t>
  </si>
  <si>
    <t>Complementary feeding (food insecure with promotion and supplementation) with iron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</si>
  <si>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</si>
  <si>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</si>
  <si>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</si>
  <si>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</si>
  <si>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</si>
  <si>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</si>
  <si>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</si>
  <si>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</si>
  <si>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</si>
  <si>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</si>
  <si>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</si>
  <si>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</si>
  <si>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</si>
  <si>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</si>
  <si>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</si>
  <si>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</si>
  <si>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</si>
  <si>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</si>
  <si>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</si>
  <si>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</si>
  <si>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</si>
  <si>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</si>
  <si>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</si>
  <si>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</si>
  <si>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</si>
  <si>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</si>
  <si>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</si>
  <si>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</si>
  <si>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</si>
  <si>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</si>
  <si>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</si>
  <si>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</si>
  <si>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</si>
  <si>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</si>
  <si>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</si>
  <si>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</si>
  <si>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</si>
  <si>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</si>
  <si>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</si>
  <si>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</si>
  <si>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</si>
  <si>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</si>
  <si>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</si>
  <si>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</si>
  <si>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</si>
  <si>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</si>
  <si>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</si>
  <si>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</si>
  <si>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</si>
  <si>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</si>
  <si>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</si>
  <si>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</si>
  <si>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</si>
  <si>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</si>
  <si>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</si>
  <si>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</si>
  <si>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</si>
  <si>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</si>
  <si>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</si>
  <si>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</si>
  <si>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</si>
  <si>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</si>
  <si>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</si>
  <si>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</si>
  <si>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</si>
  <si>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</si>
  <si>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</si>
  <si>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</si>
  <si>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</si>
  <si>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</si>
  <si>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</si>
  <si>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Age</t>
  </si>
  <si>
    <t>Practice</t>
  </si>
  <si>
    <t>Anaemia type</t>
  </si>
  <si>
    <t>Prevalence of all anaemia</t>
  </si>
  <si>
    <t>Prevalence of iron deficiency anaemia</t>
  </si>
  <si>
    <t>Fraction anaemia that is severe</t>
  </si>
  <si>
    <t>Program</t>
  </si>
  <si>
    <t>Anaemia</t>
  </si>
  <si>
    <t>Family planning</t>
  </si>
  <si>
    <t>not anaemic</t>
  </si>
  <si>
    <t>anaemic</t>
  </si>
  <si>
    <t>baseline coverage</t>
  </si>
  <si>
    <t>Diarrhoea</t>
  </si>
  <si>
    <t>Diarrhoea incidence</t>
  </si>
  <si>
    <t>Severe diarrhoea</t>
  </si>
  <si>
    <t>Neonatal diarrhoea</t>
  </si>
  <si>
    <t>Birth outcomes</t>
  </si>
  <si>
    <t>Mortality</t>
  </si>
  <si>
    <t>Threshold dependency</t>
  </si>
  <si>
    <t>Exclusion dependency</t>
  </si>
  <si>
    <t>Wasting prevention</t>
  </si>
  <si>
    <t>Wasting treatment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</si>
  <si>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</si>
  <si>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</si>
  <si>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</si>
  <si>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</si>
  <si>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</si>
  <si>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</si>
  <si>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</si>
  <si>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</si>
  <si>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</si>
  <si>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</si>
  <si>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</si>
  <si>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</si>
  <si>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</si>
  <si>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</si>
  <si>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Age group</t>
  </si>
  <si>
    <t>Include in analysis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</si>
  <si>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</si>
  <si>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</si>
  <si>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</si>
  <si>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</si>
  <si>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</si>
  <si>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</si>
  <si>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</si>
  <si>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</si>
  <si>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</si>
  <si>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</si>
  <si>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</si>
  <si>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</si>
  <si>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</si>
  <si>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</si>
  <si>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</si>
  <si>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</si>
  <si>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</si>
  <si>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</si>
  <si>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</si>
  <si>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</si>
  <si>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</si>
  <si>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Maternal mortality (per 100,000 live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</si>
  <si>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</si>
  <si>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</si>
  <si>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</si>
  <si>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</si>
  <si>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</si>
  <si>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</si>
  <si>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</si>
  <si>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</si>
  <si>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</si>
  <si>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</si>
  <si>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</si>
  <si>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</si>
  <si>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</si>
  <si>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</si>
  <si>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</si>
  <si>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</si>
  <si>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</si>
  <si>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</si>
  <si>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Total population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</si>
  <si>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</si>
  <si>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</si>
  <si>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</si>
  <si>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</si>
  <si>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</si>
  <si>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</si>
  <si>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</si>
  <si>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</si>
  <si>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</si>
  <si>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</si>
  <si>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</si>
  <si>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</si>
  <si>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</si>
  <si>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</si>
  <si>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</si>
  <si>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</si>
  <si>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</si>
  <si>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</si>
  <si>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Odds ratios for conditions</t>
  </si>
  <si>
    <t>Risks for children who experience birth outcomes</t>
  </si>
  <si>
    <t>MAM (WHZ-score between -3 and -2)</t>
  </si>
  <si>
    <t>Stunting (HAZ-score &lt; -2)</t>
  </si>
  <si>
    <t>SAM (WHZ-score &lt; -3)</t>
  </si>
  <si>
    <t>Relative risks of neonatal causes of death</t>
  </si>
  <si>
    <t>Maternal risk factors leading to birth outcomes</t>
  </si>
  <si>
    <t>Odds ratios for women with maternal anaemia</t>
  </si>
  <si>
    <t>Odds ratios by birth age and order</t>
  </si>
  <si>
    <t>Odds ratios by birth interval</t>
  </si>
  <si>
    <t>Relative risk of causes of death by height-for-age (stunting) distribution</t>
  </si>
  <si>
    <t>Cause of death</t>
  </si>
  <si>
    <t>HAZ status</t>
  </si>
  <si>
    <t>Relative risk of causes of death by weight-for-height (wasting) distribution</t>
  </si>
  <si>
    <t>WHZ status</t>
  </si>
  <si>
    <t>Anaemia status</t>
  </si>
  <si>
    <t>Relative risk of causes of death by breastfeeding status</t>
  </si>
  <si>
    <t>Breastfeeding status</t>
  </si>
  <si>
    <t>Relative risk of causes of death by anaemia status</t>
  </si>
  <si>
    <t>Relative risks of experiencing diarrhoea by breastfeeding status</t>
  </si>
  <si>
    <t>Odds ratios for stunting</t>
  </si>
  <si>
    <t>N/A</t>
  </si>
  <si>
    <t>Given previous stunting (HAZ &lt; -2 in previous age band)</t>
  </si>
  <si>
    <t>By program</t>
  </si>
  <si>
    <t>Other odds ratios</t>
  </si>
  <si>
    <t>For correct breastfeeding if receiving breastfeeding promotion</t>
  </si>
  <si>
    <t>For SAM per additional episode of diarrhoea</t>
  </si>
  <si>
    <t>For MAM per additional episode of diarrhoea</t>
  </si>
  <si>
    <t>For anaemia per additional episode of diarrhoea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</si>
  <si>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</si>
  <si>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</si>
  <si>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</si>
  <si>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</si>
  <si>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</si>
  <si>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</si>
  <si>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</si>
  <si>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</si>
  <si>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</si>
  <si>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</si>
  <si>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</si>
  <si>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</si>
  <si>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</si>
  <si>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</si>
  <si>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</si>
  <si>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</si>
  <si>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</si>
  <si>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Lipid-based nutrition supplements (malaria area)</t>
  </si>
  <si>
    <t>Lipid-based nutrition supplements, Lipid-based nutrition supplements (malaria area)</t>
  </si>
  <si>
    <t>Micronutrient powders</t>
  </si>
  <si>
    <t>Micronutrient powders (malaria area)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</si>
  <si>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</si>
  <si>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</si>
  <si>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</si>
  <si>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</si>
  <si>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</si>
  <si>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</si>
  <si>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</si>
  <si>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</si>
  <si>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</si>
  <si>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</si>
  <si>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</si>
  <si>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</si>
  <si>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</si>
  <si>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</si>
  <si>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</si>
  <si>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Diarrhea</t>
  </si>
  <si>
    <t>Diarrhea (per additional episode)</t>
  </si>
  <si>
    <t>Maternal (deaths per 100,000 births)</t>
  </si>
  <si>
    <t>Under five (deaths per 1,000 births)</t>
  </si>
  <si>
    <t xml:space="preserve">Mortality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</si>
</sst>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i/>
      <sz val="10"/>
      <color theme="0" tint="-0.3499862666707357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" fontId="2" fillId="0" borderId="0" xfId="0" applyNumberFormat="1" applyFont="1"/>
    <xf numFmtId="0" fontId="11" fillId="0" borderId="0" xfId="0" applyFont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0" fontId="11" fillId="2" borderId="1" xfId="0" applyFont="1" applyFill="1" applyBorder="1" applyAlignment="1"/>
    <xf numFmtId="3" fontId="3" fillId="2" borderId="1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0" fontId="0" fillId="4" borderId="0" xfId="0" applyFont="1" applyFill="1" applyAlignment="1"/>
    <xf numFmtId="10" fontId="0" fillId="3" borderId="1" xfId="0" applyNumberFormat="1" applyFont="1" applyFill="1" applyBorder="1" applyAlignment="1"/>
    <xf numFmtId="165" fontId="0" fillId="0" borderId="0" xfId="0" applyNumberFormat="1" applyFont="1" applyAlignment="1"/>
    <xf numFmtId="1" fontId="2" fillId="0" borderId="0" xfId="0" applyNumberFormat="1" applyFont="1" applyAlignment="1">
      <alignment horizontal="center"/>
    </xf>
    <xf numFmtId="0" fontId="0" fillId="3" borderId="0" xfId="0" applyFont="1" applyFill="1" applyAlignment="1"/>
    <xf numFmtId="0" fontId="0" fillId="5" borderId="1" xfId="0" applyFont="1" applyFill="1" applyBorder="1" applyAlignment="1"/>
    <xf numFmtId="0" fontId="1" fillId="5" borderId="1" xfId="0" applyFont="1" applyFill="1" applyBorder="1" applyAlignment="1"/>
    <xf numFmtId="2" fontId="0" fillId="0" borderId="0" xfId="0" applyNumberFormat="1" applyFont="1" applyAlignment="1"/>
    <xf numFmtId="0" fontId="11" fillId="0" borderId="0" xfId="0" applyFont="1" applyFill="1" applyAlignment="1"/>
    <xf numFmtId="2" fontId="0" fillId="0" borderId="0" xfId="0" applyNumberFormat="1" applyFont="1" applyFill="1" applyAlignment="1"/>
    <xf numFmtId="0" fontId="2" fillId="7" borderId="0" xfId="0" applyFont="1" applyFill="1" applyAlignment="1"/>
    <xf numFmtId="0" fontId="11" fillId="7" borderId="0" xfId="0" applyFont="1" applyFill="1" applyAlignment="1"/>
    <xf numFmtId="0" fontId="11" fillId="0" borderId="0" xfId="0" applyFont="1" applyFill="1" applyAlignment="1">
      <alignment horizontal="center" vertical="center"/>
    </xf>
    <xf numFmtId="2" fontId="0" fillId="3" borderId="0" xfId="0" applyNumberFormat="1" applyFont="1" applyFill="1" applyAlignment="1"/>
    <xf numFmtId="0" fontId="15" fillId="0" borderId="0" xfId="0" applyFont="1" applyAlignment="1"/>
    <xf numFmtId="0" fontId="16" fillId="0" borderId="0" xfId="0" applyFont="1" applyAlignment="1"/>
    <xf numFmtId="0" fontId="16" fillId="0" borderId="0" xfId="0" applyNumberFormat="1" applyFont="1" applyAlignme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5" fillId="0" borderId="0" xfId="0" applyFont="1" applyFill="1" applyBorder="1" applyAlignment="1"/>
    <xf numFmtId="0" fontId="1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11" fillId="0" borderId="0" xfId="0" applyFont="1" applyFill="1" applyBorder="1" applyAlignment="1"/>
    <xf numFmtId="2" fontId="0" fillId="6" borderId="0" xfId="0" applyNumberFormat="1" applyFont="1" applyFill="1" applyAlignment="1"/>
    <xf numFmtId="0" fontId="11" fillId="0" borderId="3" xfId="0" applyFont="1" applyBorder="1" applyAlignment="1"/>
    <xf numFmtId="0" fontId="0" fillId="0" borderId="4" xfId="0" applyFont="1" applyBorder="1" applyAlignment="1"/>
    <xf numFmtId="0" fontId="0" fillId="8" borderId="5" xfId="0" applyFont="1" applyFill="1" applyBorder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8" borderId="7" xfId="0" applyFont="1" applyFill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8" borderId="9" xfId="0" applyFont="1" applyFill="1" applyBorder="1" applyAlignment="1"/>
    <xf numFmtId="0" fontId="0" fillId="0" borderId="10" xfId="0" applyFont="1" applyBorder="1" applyAlignment="1"/>
    <xf numFmtId="10" fontId="0" fillId="2" borderId="1" xfId="0" applyNumberFormat="1" applyFont="1" applyFill="1" applyBorder="1" applyAlignment="1"/>
    <xf numFmtId="10" fontId="3" fillId="2" borderId="1" xfId="10" applyNumberFormat="1" applyFont="1" applyFill="1" applyBorder="1" applyAlignment="1"/>
    <xf numFmtId="0" fontId="11" fillId="2" borderId="1" xfId="0" applyNumberFormat="1" applyFont="1" applyFill="1" applyBorder="1" applyAlignment="1"/>
    <xf numFmtId="0" fontId="11" fillId="5" borderId="1" xfId="0" applyFont="1" applyFill="1" applyBorder="1" applyAlignment="1"/>
    <xf numFmtId="10" fontId="0" fillId="0" borderId="0" xfId="0" applyNumberFormat="1" applyFont="1" applyAlignment="1"/>
    <xf numFmtId="1" fontId="11" fillId="0" borderId="0" xfId="0" applyNumberFormat="1" applyFont="1" applyAlignment="1"/>
    <xf numFmtId="0" fontId="11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17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11" fillId="0" borderId="0" xfId="0" applyFont="1" applyBorder="1" applyAlignment="1"/>
    <xf numFmtId="0" fontId="1" fillId="0" borderId="0" xfId="0" applyFont="1" applyFill="1" applyBorder="1" applyAlignment="1">
      <alignment horizontal="right" wrapText="1"/>
    </xf>
    <xf numFmtId="4" fontId="2" fillId="0" borderId="0" xfId="0" applyNumberFormat="1" applyFont="1" applyFill="1" applyBorder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9" borderId="0" xfId="0" applyFont="1" applyFill="1" applyAlignment="1"/>
    <xf numFmtId="0" fontId="2" fillId="10" borderId="0" xfId="0" applyFont="1" applyFill="1" applyAlignment="1"/>
    <xf numFmtId="2" fontId="2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7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11" fillId="2" borderId="0" xfId="0" applyNumberFormat="1" applyFont="1" applyFill="1" applyBorder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right"/>
    </xf>
    <xf numFmtId="43" fontId="3" fillId="0" borderId="0" xfId="0" applyNumberFormat="1" applyFont="1" applyAlignment="1"/>
    <xf numFmtId="164" fontId="3" fillId="0" borderId="0" xfId="0" applyNumberFormat="1" applyFont="1" applyAlignment="1"/>
    <xf numFmtId="0" fontId="11" fillId="0" borderId="0" xfId="0" applyFont="1" applyAlignment="1">
      <alignment horizontal="right"/>
    </xf>
    <xf numFmtId="9" fontId="3" fillId="2" borderId="1" xfId="10" applyFont="1" applyFill="1" applyBorder="1" applyAlignment="1"/>
    <xf numFmtId="9" fontId="3" fillId="2" borderId="1" xfId="10" applyFont="1" applyFill="1" applyBorder="1" applyAlignment="1">
      <alignment horizontal="right"/>
    </xf>
    <xf numFmtId="0" fontId="3" fillId="2" borderId="1" xfId="0" applyFont="1" applyFill="1" applyBorder="1" applyAlignment="1"/>
    <xf numFmtId="9" fontId="12" fillId="11" borderId="1" xfId="10" applyFont="1" applyFill="1" applyBorder="1" applyAlignment="1"/>
    <xf numFmtId="0" fontId="20" fillId="0" borderId="0" xfId="0" applyFont="1" applyAlignment="1">
      <alignment horizontal="right"/>
    </xf>
    <xf numFmtId="0" fontId="3" fillId="0" borderId="0" xfId="0" applyFont="1" applyAlignment="1">
      <alignment wrapText="1"/>
    </xf>
    <xf numFmtId="164" fontId="3" fillId="2" borderId="1" xfId="0" applyNumberFormat="1" applyFont="1" applyFill="1" applyBorder="1" applyAlignment="1"/>
    <xf numFmtId="164" fontId="12" fillId="11" borderId="1" xfId="9" applyNumberFormat="1" applyFont="1" applyFill="1" applyBorder="1" applyAlignment="1"/>
    <xf numFmtId="10" fontId="12" fillId="11" borderId="1" xfId="10" applyNumberFormat="1" applyFont="1" applyFill="1" applyBorder="1" applyAlignme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/>
    </xf>
    <xf numFmtId="10" fontId="2" fillId="2" borderId="1" xfId="0" applyNumberFormat="1" applyFont="1" applyFill="1" applyBorder="1" applyAlignment="1">
      <alignment horizontal="right"/>
    </xf>
    <xf numFmtId="1" fontId="12" fillId="11" borderId="1" xfId="9" applyNumberFormat="1" applyFont="1" applyFill="1" applyBorder="1" applyAlignment="1">
      <alignment horizontal="right"/>
    </xf>
    <xf numFmtId="10" fontId="3" fillId="2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 wrapText="1"/>
    </xf>
    <xf numFmtId="2" fontId="12" fillId="11" borderId="1" xfId="9" applyNumberFormat="1" applyFont="1" applyFill="1" applyBorder="1" applyAlignment="1">
      <alignment horizontal="right"/>
    </xf>
    <xf numFmtId="165" fontId="12" fillId="11" borderId="1" xfId="9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166" fontId="3" fillId="2" borderId="1" xfId="0" applyNumberFormat="1" applyFont="1" applyFill="1" applyBorder="1" applyAlignment="1">
      <alignment horizontal="right"/>
    </xf>
    <xf numFmtId="166" fontId="3" fillId="0" borderId="0" xfId="0" applyNumberFormat="1" applyFont="1" applyAlignment="1"/>
    <xf numFmtId="0" fontId="2" fillId="0" borderId="0" xfId="0" applyFont="1" applyFill="1" applyBorder="1" applyAlignment="1">
      <alignment horizontal="right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66" fontId="3" fillId="2" borderId="1" xfId="0" applyNumberFormat="1" applyFont="1" applyFill="1" applyBorder="1" applyAlignment="1">
      <alignment horizontal="right" vertical="center"/>
    </xf>
    <xf numFmtId="0" fontId="3" fillId="0" borderId="0" xfId="0" applyNumberFormat="1" applyFont="1" applyAlignment="1"/>
    <xf numFmtId="0" fontId="1" fillId="0" borderId="0" xfId="0" applyFont="1" applyAlignment="1">
      <alignment horizontal="right" wrapText="1"/>
    </xf>
    <xf numFmtId="0" fontId="11" fillId="0" borderId="0" xfId="0" applyFont="1" applyAlignment="1">
      <alignment horizontal="right" wrapText="1"/>
    </xf>
    <xf numFmtId="0" fontId="11" fillId="12" borderId="0" xfId="0" applyFont="1" applyFill="1" applyAlignment="1"/>
    <xf numFmtId="0" fontId="3" fillId="12" borderId="0" xfId="0" applyFont="1" applyFill="1" applyAlignment="1"/>
    <xf numFmtId="0" fontId="3" fillId="12" borderId="0" xfId="0" applyNumberFormat="1" applyFont="1" applyFill="1" applyAlignment="1"/>
    <xf numFmtId="2" fontId="3" fillId="0" borderId="0" xfId="0" applyNumberFormat="1" applyFont="1" applyAlignment="1">
      <alignment horizontal="right"/>
    </xf>
    <xf numFmtId="2" fontId="2" fillId="0" borderId="0" xfId="0" applyNumberFormat="1" applyFont="1" applyFill="1" applyBorder="1" applyAlignment="1">
      <alignment horizontal="right" vertical="center" wrapText="1"/>
    </xf>
    <xf numFmtId="2" fontId="3" fillId="0" borderId="0" xfId="0" applyNumberFormat="1" applyFont="1" applyAlignment="1"/>
    <xf numFmtId="2" fontId="3" fillId="12" borderId="0" xfId="0" applyNumberFormat="1" applyFont="1" applyFill="1" applyAlignment="1"/>
    <xf numFmtId="2" fontId="11" fillId="0" borderId="0" xfId="0" applyNumberFormat="1" applyFont="1" applyAlignment="1"/>
    <xf numFmtId="0" fontId="0" fillId="12" borderId="0" xfId="0" applyFont="1" applyFill="1" applyAlignment="1"/>
    <xf numFmtId="0" fontId="11" fillId="0" borderId="0" xfId="0" applyFont="1" applyFill="1" applyAlignment="1">
      <alignment wrapText="1"/>
    </xf>
    <xf numFmtId="0" fontId="21" fillId="0" borderId="0" xfId="0" applyFont="1" applyAlignment="1"/>
    <xf numFmtId="0" fontId="21" fillId="0" borderId="0" xfId="0" applyFont="1" applyAlignment="1">
      <alignment horizontal="right" wrapText="1"/>
    </xf>
    <xf numFmtId="0" fontId="21" fillId="0" borderId="0" xfId="0" applyFont="1" applyFill="1" applyAlignment="1"/>
    <xf numFmtId="1" fontId="3" fillId="0" borderId="0" xfId="0" applyNumberFormat="1" applyFont="1" applyAlignment="1">
      <alignment horizontal="right"/>
    </xf>
    <xf numFmtId="1" fontId="2" fillId="0" borderId="0" xfId="0" applyNumberFormat="1" applyFont="1" applyFill="1" applyBorder="1" applyAlignment="1">
      <alignment horizontal="right" vertical="center" wrapText="1"/>
    </xf>
    <xf numFmtId="1" fontId="3" fillId="0" borderId="0" xfId="0" applyNumberFormat="1" applyFont="1" applyAlignment="1"/>
    <xf numFmtId="1" fontId="3" fillId="12" borderId="0" xfId="0" applyNumberFormat="1" applyFont="1" applyFill="1" applyAlignment="1"/>
    <xf numFmtId="1" fontId="2" fillId="0" borderId="0" xfId="0" applyNumberFormat="1" applyFont="1"/>
    <xf numFmtId="1" fontId="1" fillId="0" borderId="0" xfId="0" applyNumberFormat="1" applyFont="1"/>
    <xf numFmtId="1" fontId="21" fillId="0" borderId="0" xfId="0" applyNumberFormat="1" applyFont="1" applyAlignment="1"/>
    <xf numFmtId="9" fontId="12" fillId="11" borderId="1" xfId="10" applyFont="1" applyFill="1" applyBorder="1" applyAlignment="1">
      <alignment horizontal="right"/>
    </xf>
    <xf numFmtId="0" fontId="22" fillId="0" borderId="0" xfId="0" applyFont="1" applyAlignment="1">
      <alignment horizontal="right" vertical="center"/>
    </xf>
    <xf numFmtId="0" fontId="2" fillId="0" borderId="0" xfId="0" applyFont="1" applyAlignment="1">
      <alignment horizontal="left" indent="1"/>
    </xf>
    <xf numFmtId="166" fontId="12" fillId="11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3" fillId="2" borderId="1" xfId="10" applyNumberFormat="1" applyFont="1" applyFill="1" applyBorder="1" applyAlignment="1"/>
    <xf numFmtId="2" fontId="3" fillId="2" borderId="1" xfId="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1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xmlns="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Relative risks"/>
      <sheetName val="Odds ratios"/>
      <sheetName val="IYCF package odds ratios"/>
      <sheetName val="IYCF packages"/>
      <sheetName val="IYCF cost &amp; coverage"/>
      <sheetName val="Appropriate breastfeeding"/>
      <sheetName val="Programs birth outcomes"/>
      <sheetName val="Programs an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dependencies"/>
      <sheetName val="Program risk areas"/>
      <sheetName val="Population risk areas"/>
      <sheetName val="Programs annual scale-up"/>
      <sheetName val="Programs annual spending"/>
      <sheetName val="Programs cost and coverage"/>
      <sheetName val="Reference programs"/>
      <sheetName val="Programs to include"/>
    </sheetNames>
    <sheetDataSet>
      <sheetData sheetId="0">
        <row r="2">
          <cell r="C2">
            <v>2016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Balanced energy-protein supplementation</v>
          </cell>
        </row>
        <row r="3">
          <cell r="A3" t="str">
            <v>Birth age program</v>
          </cell>
        </row>
        <row r="4">
          <cell r="A4" t="str">
            <v>Calcium supplementation</v>
          </cell>
        </row>
        <row r="5">
          <cell r="A5" t="str">
            <v>Cash transfers</v>
          </cell>
        </row>
        <row r="6">
          <cell r="A6" t="str">
            <v>Family Planning</v>
          </cell>
        </row>
        <row r="7">
          <cell r="A7" t="str">
            <v>IFA fortification of maize</v>
          </cell>
        </row>
        <row r="8">
          <cell r="A8" t="str">
            <v>IFA fortification of rice</v>
          </cell>
        </row>
        <row r="9">
          <cell r="A9" t="str">
            <v>IFA fortification of wheat flour</v>
          </cell>
        </row>
        <row r="10">
          <cell r="A10" t="str">
            <v>IFAS not poor: community</v>
          </cell>
        </row>
        <row r="11">
          <cell r="A11" t="str">
            <v>IFAS not poor: community (malaria area)</v>
          </cell>
        </row>
        <row r="12">
          <cell r="A12" t="str">
            <v>IFAS not poor: hospital</v>
          </cell>
        </row>
        <row r="13">
          <cell r="A13" t="str">
            <v>IFAS not poor: hospital (malaria area)</v>
          </cell>
        </row>
        <row r="14">
          <cell r="A14" t="str">
            <v>IFAS not poor: retailer</v>
          </cell>
        </row>
        <row r="15">
          <cell r="A15" t="str">
            <v>IFAS not poor: retailer (malaria area)</v>
          </cell>
        </row>
        <row r="16">
          <cell r="A16" t="str">
            <v>IFAS not poor: school</v>
          </cell>
        </row>
        <row r="17">
          <cell r="A17" t="str">
            <v>IFAS not poor: school (malaria area)</v>
          </cell>
        </row>
        <row r="18">
          <cell r="A18" t="str">
            <v>IFAS poor: community</v>
          </cell>
        </row>
        <row r="19">
          <cell r="A19" t="str">
            <v>IFAS poor: community (malaria area)</v>
          </cell>
        </row>
        <row r="20">
          <cell r="A20" t="str">
            <v>IFAS poor: hospital</v>
          </cell>
        </row>
        <row r="21">
          <cell r="A21" t="str">
            <v>IFAS poor: hospital (malaria area)</v>
          </cell>
        </row>
        <row r="22">
          <cell r="A22" t="str">
            <v>IFAS poor: school</v>
          </cell>
        </row>
        <row r="23">
          <cell r="A23" t="str">
            <v>IFAS poor: school (malaria area)</v>
          </cell>
        </row>
        <row r="24">
          <cell r="A24" t="str">
            <v>IPTp</v>
          </cell>
        </row>
        <row r="25">
          <cell r="A25" t="str">
            <v>Iron and folic acid supplementation for pregnant women</v>
          </cell>
        </row>
        <row r="26">
          <cell r="A26" t="str">
            <v>Iron and folic acid supplementation for pregnant women (malaria area)</v>
          </cell>
        </row>
        <row r="27">
          <cell r="A27" t="str">
            <v>Iron and iodine fortification of salt</v>
          </cell>
        </row>
        <row r="28">
          <cell r="A28" t="str">
            <v>Iron fortification of maize</v>
          </cell>
        </row>
        <row r="29">
          <cell r="A29" t="str">
            <v>Iron fortification of rice</v>
          </cell>
        </row>
        <row r="30">
          <cell r="A30" t="str">
            <v>Iron fortification of wheat flour</v>
          </cell>
        </row>
        <row r="31">
          <cell r="A31" t="str">
            <v>Long-lasting insecticide-treated bednets</v>
          </cell>
        </row>
        <row r="32">
          <cell r="A32" t="str">
            <v>Mg for eclampsia</v>
          </cell>
        </row>
        <row r="33">
          <cell r="A33" t="str">
            <v>Mg for pre-eclampsia</v>
          </cell>
        </row>
        <row r="34">
          <cell r="A34" t="str">
            <v>Multiple micronutrient supplementation</v>
          </cell>
        </row>
        <row r="35">
          <cell r="A35" t="str">
            <v>Multiple micronutrient supplementation (malaria area)</v>
          </cell>
        </row>
        <row r="36">
          <cell r="A36" t="str">
            <v>Oral rehydration salts</v>
          </cell>
        </row>
        <row r="37">
          <cell r="A37" t="str">
            <v>Public provision of complementary foods</v>
          </cell>
        </row>
        <row r="38">
          <cell r="A38" t="str">
            <v>Public provision of complementary foods with iron</v>
          </cell>
        </row>
        <row r="39">
          <cell r="A39" t="str">
            <v>Public provision of complementary foods with iron (malaria area)</v>
          </cell>
        </row>
        <row r="40">
          <cell r="A40" t="str">
            <v>Sprinkles</v>
          </cell>
        </row>
        <row r="41">
          <cell r="A41" t="str">
            <v>Sprinkles (malaria area)</v>
          </cell>
        </row>
        <row r="42">
          <cell r="A42" t="str">
            <v>Treatment of MAM</v>
          </cell>
        </row>
        <row r="43">
          <cell r="A43" t="str">
            <v>Treatment of SAM</v>
          </cell>
        </row>
        <row r="44">
          <cell r="A44" t="str">
            <v>Vitamin A supplementation</v>
          </cell>
        </row>
        <row r="45">
          <cell r="A45" t="str">
            <v>WASH: Handwashing</v>
          </cell>
        </row>
        <row r="46">
          <cell r="A46" t="str">
            <v>WASH: Hygenic disposal</v>
          </cell>
        </row>
        <row r="47">
          <cell r="A47" t="str">
            <v>WASH: Improved sanitation</v>
          </cell>
        </row>
        <row r="48">
          <cell r="A48" t="str">
            <v>WASH: Improved water source</v>
          </cell>
        </row>
        <row r="49">
          <cell r="A49" t="str">
            <v>WASH: Piped water</v>
          </cell>
        </row>
        <row r="50">
          <cell r="A50" t="str">
            <v>Zinc for treatment + ORS</v>
          </cell>
        </row>
        <row r="51">
          <cell r="A51" t="str">
            <v>Zinc supplementation</v>
          </cell>
        </row>
        <row r="52">
          <cell r="A52" t="str">
            <v>IYCF 1</v>
          </cell>
        </row>
        <row r="53">
          <cell r="A53" t="str">
            <v>IYCF 2</v>
          </cell>
        </row>
        <row r="54">
          <cell r="A54" t="str">
            <v>IYCF 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E53"/>
  <sheetViews>
    <sheetView zoomScaleNormal="100" workbookViewId="0">
      <selection activeCell="C14" sqref="C14"/>
    </sheetView>
  </sheetViews>
  <sheetFormatPr defaultColWidth="14.42578125" defaultRowHeight="15.75" customHeight="1" x14ac:dyDescent="0.2"/>
  <cols>
    <col min="1" max="1" width="27.7109375" style="80" customWidth="1"/>
    <col min="2" max="2" width="38.7109375" style="86" customWidth="1"/>
    <col min="3" max="16384" width="14.42578125" style="80"/>
  </cols>
  <sheetData>
    <row r="1" spans="1:3" ht="15.95" customHeight="1" x14ac:dyDescent="0.2">
      <c r="A1" s="1" t="s">
        <v>214</v>
      </c>
      <c r="B1" s="89"/>
      <c r="C1" s="89"/>
    </row>
    <row r="2" spans="1:3" ht="15" customHeight="1" x14ac:dyDescent="0.2">
      <c r="A2" s="80" t="s">
        <v>74</v>
      </c>
    </row>
    <row r="3" spans="1:3" ht="15" customHeight="1" x14ac:dyDescent="0.2">
      <c r="B3" s="16" t="s">
        <v>220</v>
      </c>
      <c r="C3" s="91">
        <v>0.36</v>
      </c>
    </row>
    <row r="4" spans="1:3" ht="15" customHeight="1" x14ac:dyDescent="0.2">
      <c r="B4" s="62" t="s">
        <v>221</v>
      </c>
      <c r="C4" s="90">
        <v>0.1</v>
      </c>
    </row>
    <row r="5" spans="1:3" ht="15" customHeight="1" x14ac:dyDescent="0.2">
      <c r="B5" s="62" t="s">
        <v>219</v>
      </c>
      <c r="C5" s="90">
        <v>0.35199999999999998</v>
      </c>
    </row>
    <row r="6" spans="1:3" ht="15" customHeight="1" x14ac:dyDescent="0.2">
      <c r="B6" s="16" t="s">
        <v>222</v>
      </c>
      <c r="C6" s="91">
        <v>0.5</v>
      </c>
    </row>
    <row r="7" spans="1:3" ht="15" customHeight="1" x14ac:dyDescent="0.2">
      <c r="B7" s="16" t="s">
        <v>223</v>
      </c>
      <c r="C7" s="91">
        <v>0.3</v>
      </c>
    </row>
    <row r="8" spans="1:3" ht="15" customHeight="1" x14ac:dyDescent="0.2">
      <c r="B8" s="16" t="s">
        <v>224</v>
      </c>
      <c r="C8" s="91">
        <v>0.1</v>
      </c>
    </row>
    <row r="9" spans="1:3" ht="15" customHeight="1" x14ac:dyDescent="0.2">
      <c r="B9" s="80"/>
    </row>
    <row r="10" spans="1:3" ht="15" customHeight="1" x14ac:dyDescent="0.2">
      <c r="A10" s="80" t="s">
        <v>51</v>
      </c>
      <c r="B10" s="89"/>
      <c r="C10" s="3"/>
    </row>
    <row r="11" spans="1:3" ht="15" customHeight="1" x14ac:dyDescent="0.2">
      <c r="B11" s="62" t="s">
        <v>208</v>
      </c>
      <c r="C11" s="90">
        <v>0.3</v>
      </c>
    </row>
    <row r="12" spans="1:3" ht="15" customHeight="1" x14ac:dyDescent="0.2">
      <c r="B12" s="62" t="s">
        <v>209</v>
      </c>
      <c r="C12" s="90">
        <v>0.8</v>
      </c>
    </row>
    <row r="13" spans="1:3" ht="15" customHeight="1" x14ac:dyDescent="0.2">
      <c r="B13" s="62" t="s">
        <v>210</v>
      </c>
      <c r="C13" s="90">
        <v>0.12</v>
      </c>
    </row>
    <row r="14" spans="1:3" ht="15" customHeight="1" x14ac:dyDescent="0.2">
      <c r="B14" s="62" t="s">
        <v>211</v>
      </c>
      <c r="C14" s="90">
        <v>0.05</v>
      </c>
    </row>
    <row r="15" spans="1:3" ht="15" customHeight="1" x14ac:dyDescent="0.2">
      <c r="B15" s="62" t="s">
        <v>212</v>
      </c>
      <c r="C15" s="93">
        <f>1-frac_rice-frac_wheat-frac_maize</f>
        <v>2.9999999999999957E-2</v>
      </c>
    </row>
    <row r="16" spans="1:3" ht="15" customHeight="1" x14ac:dyDescent="0.2">
      <c r="B16" s="80"/>
    </row>
    <row r="17" spans="1:5" ht="15" customHeight="1" x14ac:dyDescent="0.2">
      <c r="A17" s="80" t="s">
        <v>213</v>
      </c>
    </row>
    <row r="18" spans="1:5" ht="15" customHeight="1" x14ac:dyDescent="0.2">
      <c r="B18" s="94" t="s">
        <v>215</v>
      </c>
      <c r="C18" s="90">
        <v>0.29978973218277538</v>
      </c>
    </row>
    <row r="19" spans="1:5" ht="15" customHeight="1" x14ac:dyDescent="0.2">
      <c r="B19" s="94" t="s">
        <v>216</v>
      </c>
      <c r="C19" s="90">
        <v>0.52556568434139284</v>
      </c>
    </row>
    <row r="20" spans="1:5" ht="15" customHeight="1" x14ac:dyDescent="0.2">
      <c r="B20" s="94" t="s">
        <v>217</v>
      </c>
      <c r="C20" s="90">
        <v>0.16210210664201097</v>
      </c>
    </row>
    <row r="21" spans="1:5" ht="15" customHeight="1" x14ac:dyDescent="0.2">
      <c r="B21" s="94" t="s">
        <v>218</v>
      </c>
      <c r="C21" s="90">
        <v>1.2542476833820825E-2</v>
      </c>
    </row>
    <row r="22" spans="1:5" ht="15" customHeight="1" x14ac:dyDescent="0.2"/>
    <row r="23" spans="1:5" ht="15" customHeight="1" x14ac:dyDescent="0.2">
      <c r="A23" s="7" t="s">
        <v>289</v>
      </c>
    </row>
    <row r="24" spans="1:5" ht="15" customHeight="1" x14ac:dyDescent="0.2">
      <c r="A24" s="80" t="s">
        <v>165</v>
      </c>
      <c r="B24" s="16"/>
      <c r="C24" s="81"/>
    </row>
    <row r="25" spans="1:5" ht="15" customHeight="1" x14ac:dyDescent="0.2">
      <c r="B25" s="86" t="s">
        <v>207</v>
      </c>
      <c r="C25" s="92">
        <v>176</v>
      </c>
    </row>
    <row r="26" spans="1:5" ht="15" customHeight="1" x14ac:dyDescent="0.2">
      <c r="B26" s="86" t="s">
        <v>202</v>
      </c>
      <c r="C26" s="90">
        <v>0.13</v>
      </c>
    </row>
    <row r="27" spans="1:5" ht="15" customHeight="1" x14ac:dyDescent="0.2">
      <c r="B27" s="86" t="s">
        <v>206</v>
      </c>
      <c r="C27" s="92">
        <v>25.36</v>
      </c>
    </row>
    <row r="28" spans="1:5" ht="15" customHeight="1" x14ac:dyDescent="0.2">
      <c r="B28" s="86" t="s">
        <v>205</v>
      </c>
      <c r="C28" s="145">
        <v>25.4</v>
      </c>
    </row>
    <row r="29" spans="1:5" ht="15" customHeight="1" x14ac:dyDescent="0.2">
      <c r="B29" s="86" t="s">
        <v>204</v>
      </c>
      <c r="C29" s="92">
        <v>34.68</v>
      </c>
      <c r="D29" s="87"/>
      <c r="E29" s="88"/>
    </row>
    <row r="30" spans="1:5" ht="15" customHeight="1" x14ac:dyDescent="0.2">
      <c r="B30" s="86" t="s">
        <v>203</v>
      </c>
      <c r="C30" s="92">
        <v>39.32</v>
      </c>
      <c r="D30" s="87"/>
      <c r="E30" s="87"/>
    </row>
    <row r="31" spans="1:5" ht="15.75" customHeight="1" x14ac:dyDescent="0.2">
      <c r="D31" s="87"/>
    </row>
    <row r="32" spans="1:5" ht="15.75" customHeight="1" x14ac:dyDescent="0.2">
      <c r="A32" s="80" t="s">
        <v>285</v>
      </c>
      <c r="D32" s="87"/>
    </row>
    <row r="33" spans="1:5" ht="15.75" customHeight="1" x14ac:dyDescent="0.2">
      <c r="B33" s="86" t="s">
        <v>12</v>
      </c>
      <c r="C33" s="90">
        <v>3.1E-2</v>
      </c>
      <c r="D33" s="87"/>
    </row>
    <row r="34" spans="1:5" ht="15.75" customHeight="1" x14ac:dyDescent="0.2">
      <c r="B34" s="86" t="s">
        <v>14</v>
      </c>
      <c r="C34" s="90">
        <v>0.109</v>
      </c>
      <c r="D34" s="87"/>
    </row>
    <row r="35" spans="1:5" ht="15.75" customHeight="1" x14ac:dyDescent="0.2">
      <c r="B35" s="86" t="s">
        <v>15</v>
      </c>
      <c r="C35" s="90">
        <v>0.36499999999999999</v>
      </c>
      <c r="D35" s="87"/>
      <c r="E35" s="88"/>
    </row>
    <row r="36" spans="1:5" ht="15" customHeight="1" x14ac:dyDescent="0.2">
      <c r="B36" s="86" t="s">
        <v>36</v>
      </c>
      <c r="C36" s="93">
        <f>1-term_SGA-preterm_AGA-preterm_SGA</f>
        <v>0.495</v>
      </c>
      <c r="D36" s="87"/>
      <c r="E36" s="87"/>
    </row>
    <row r="37" spans="1:5" ht="15.75" customHeight="1" x14ac:dyDescent="0.2">
      <c r="D37" s="87"/>
    </row>
    <row r="38" spans="1:5" ht="15.75" customHeight="1" x14ac:dyDescent="0.2">
      <c r="A38" s="80" t="s">
        <v>161</v>
      </c>
      <c r="D38" s="87"/>
    </row>
    <row r="39" spans="1:5" ht="15.75" customHeight="1" x14ac:dyDescent="0.2">
      <c r="B39" s="86" t="s">
        <v>274</v>
      </c>
      <c r="C39" s="12">
        <v>2.4300000000000002</v>
      </c>
      <c r="D39" s="87"/>
    </row>
    <row r="40" spans="1:5" ht="15" customHeight="1" x14ac:dyDescent="0.2">
      <c r="B40" s="86" t="s">
        <v>275</v>
      </c>
      <c r="C40" s="12">
        <v>2.4300000000000002</v>
      </c>
    </row>
    <row r="41" spans="1:5" ht="15.75" customHeight="1" x14ac:dyDescent="0.2">
      <c r="B41" s="86" t="s">
        <v>276</v>
      </c>
      <c r="C41" s="12">
        <v>3.71</v>
      </c>
    </row>
    <row r="42" spans="1:5" ht="15.75" customHeight="1" x14ac:dyDescent="0.2">
      <c r="B42" s="86" t="s">
        <v>277</v>
      </c>
      <c r="C42" s="12">
        <v>3</v>
      </c>
    </row>
    <row r="43" spans="1:5" ht="15.75" customHeight="1" x14ac:dyDescent="0.2">
      <c r="B43" s="86" t="s">
        <v>278</v>
      </c>
      <c r="C43" s="12">
        <v>1.92</v>
      </c>
    </row>
    <row r="45" spans="1:5" ht="15.75" customHeight="1" x14ac:dyDescent="0.2">
      <c r="A45" s="80" t="s">
        <v>286</v>
      </c>
    </row>
    <row r="46" spans="1:5" ht="15.75" customHeight="1" x14ac:dyDescent="0.2">
      <c r="B46" s="16" t="s">
        <v>225</v>
      </c>
      <c r="C46" s="91">
        <v>0.2</v>
      </c>
    </row>
    <row r="47" spans="1:5" ht="15.75" customHeight="1" x14ac:dyDescent="0.2">
      <c r="B47" s="86" t="s">
        <v>283</v>
      </c>
      <c r="C47" s="91">
        <v>0.42</v>
      </c>
    </row>
    <row r="48" spans="1:5" ht="15.75" customHeight="1" x14ac:dyDescent="0.2">
      <c r="B48" s="86" t="s">
        <v>287</v>
      </c>
      <c r="C48" s="91">
        <v>0.9</v>
      </c>
    </row>
    <row r="49" spans="1:3" ht="15.75" customHeight="1" x14ac:dyDescent="0.2">
      <c r="B49" s="86" t="s">
        <v>288</v>
      </c>
      <c r="C49" s="91">
        <v>0.1</v>
      </c>
    </row>
    <row r="53" spans="1:3" ht="15.75" customHeight="1" x14ac:dyDescent="0.2">
      <c r="A53" s="7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P105"/>
  <sheetViews>
    <sheetView zoomScaleNormal="100" workbookViewId="0">
      <selection activeCell="N36" sqref="N36"/>
    </sheetView>
  </sheetViews>
  <sheetFormatPr defaultColWidth="11.42578125" defaultRowHeight="12.75" x14ac:dyDescent="0.2"/>
  <cols>
    <col min="1" max="1" width="24.42578125" customWidth="1"/>
    <col min="2" max="2" width="24.140625" customWidth="1"/>
    <col min="3" max="3" width="16.42578125" customWidth="1"/>
    <col min="4" max="8" width="13.28515625" customWidth="1"/>
    <col min="9" max="12" width="13.85546875" bestFit="1" customWidth="1"/>
    <col min="13" max="16" width="15.140625" bestFit="1" customWidth="1"/>
  </cols>
  <sheetData>
    <row r="1" spans="1:16" s="127" customFormat="1" x14ac:dyDescent="0.2">
      <c r="A1" s="119" t="s">
        <v>255</v>
      </c>
    </row>
    <row r="2" spans="1:16" ht="25.5" x14ac:dyDescent="0.2">
      <c r="B2" s="1" t="s">
        <v>256</v>
      </c>
      <c r="C2" s="1" t="s">
        <v>257</v>
      </c>
      <c r="D2" s="118" t="s">
        <v>1</v>
      </c>
      <c r="E2" s="118" t="s">
        <v>2</v>
      </c>
      <c r="F2" s="118" t="s">
        <v>3</v>
      </c>
      <c r="G2" s="118" t="s">
        <v>4</v>
      </c>
      <c r="H2" s="118" t="s">
        <v>5</v>
      </c>
      <c r="I2" s="130" t="s">
        <v>82</v>
      </c>
      <c r="J2" s="130" t="s">
        <v>83</v>
      </c>
      <c r="K2" s="130" t="s">
        <v>84</v>
      </c>
      <c r="L2" s="130" t="s">
        <v>85</v>
      </c>
      <c r="M2" s="130" t="s">
        <v>78</v>
      </c>
      <c r="N2" s="130" t="s">
        <v>79</v>
      </c>
      <c r="O2" s="130" t="s">
        <v>80</v>
      </c>
      <c r="P2" s="130" t="s">
        <v>81</v>
      </c>
    </row>
    <row r="3" spans="1:16" x14ac:dyDescent="0.2">
      <c r="A3" s="7"/>
      <c r="B3" s="80" t="s">
        <v>310</v>
      </c>
      <c r="C3" s="3" t="s">
        <v>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I3" s="129">
        <v>1</v>
      </c>
      <c r="J3" s="129">
        <v>1</v>
      </c>
      <c r="K3" s="129">
        <v>1</v>
      </c>
      <c r="L3" s="129">
        <v>1</v>
      </c>
      <c r="M3" s="129">
        <v>1</v>
      </c>
      <c r="N3" s="129">
        <v>1</v>
      </c>
      <c r="O3" s="129">
        <v>1</v>
      </c>
      <c r="P3" s="129">
        <v>1</v>
      </c>
    </row>
    <row r="4" spans="1:16" x14ac:dyDescent="0.2">
      <c r="C4" s="3" t="s">
        <v>18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129">
        <v>1</v>
      </c>
      <c r="J4" s="129">
        <v>1</v>
      </c>
      <c r="K4" s="129">
        <v>1</v>
      </c>
      <c r="L4" s="129">
        <v>1</v>
      </c>
      <c r="M4" s="129">
        <v>1</v>
      </c>
      <c r="N4" s="129">
        <v>1</v>
      </c>
      <c r="O4" s="129">
        <v>1</v>
      </c>
      <c r="P4" s="129">
        <v>1</v>
      </c>
    </row>
    <row r="5" spans="1:16" x14ac:dyDescent="0.2">
      <c r="C5" s="3" t="s">
        <v>20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129">
        <v>1</v>
      </c>
      <c r="J5" s="129">
        <v>1</v>
      </c>
      <c r="K5" s="129">
        <v>1</v>
      </c>
      <c r="L5" s="129">
        <v>1</v>
      </c>
      <c r="M5" s="129">
        <v>1</v>
      </c>
      <c r="N5" s="129">
        <v>1</v>
      </c>
      <c r="O5" s="129">
        <v>1</v>
      </c>
      <c r="P5" s="129">
        <v>1</v>
      </c>
    </row>
    <row r="6" spans="1:16" x14ac:dyDescent="0.2">
      <c r="C6" s="3" t="s">
        <v>21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129">
        <v>1</v>
      </c>
      <c r="J6" s="129">
        <v>1</v>
      </c>
      <c r="K6" s="129">
        <v>1</v>
      </c>
      <c r="L6" s="129">
        <v>1</v>
      </c>
      <c r="M6" s="129">
        <v>1</v>
      </c>
      <c r="N6" s="129">
        <v>1</v>
      </c>
      <c r="O6" s="129">
        <v>1</v>
      </c>
      <c r="P6" s="129">
        <v>1</v>
      </c>
    </row>
    <row r="7" spans="1:16" x14ac:dyDescent="0.2">
      <c r="B7" t="s">
        <v>22</v>
      </c>
      <c r="C7" s="3" t="s">
        <v>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  <c r="I7" s="129">
        <v>1</v>
      </c>
      <c r="J7" s="129">
        <v>1</v>
      </c>
      <c r="K7" s="129">
        <v>1</v>
      </c>
      <c r="L7" s="129">
        <v>1</v>
      </c>
      <c r="M7" s="129">
        <v>1</v>
      </c>
      <c r="N7" s="129">
        <v>1</v>
      </c>
      <c r="O7" s="129">
        <v>1</v>
      </c>
      <c r="P7" s="129">
        <v>1</v>
      </c>
    </row>
    <row r="8" spans="1:16" x14ac:dyDescent="0.2">
      <c r="C8" s="3" t="s">
        <v>18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129">
        <v>1</v>
      </c>
      <c r="J8" s="129">
        <v>1</v>
      </c>
      <c r="K8" s="129">
        <v>1</v>
      </c>
      <c r="L8" s="129">
        <v>1</v>
      </c>
      <c r="M8" s="129">
        <v>1</v>
      </c>
      <c r="N8" s="129">
        <v>1</v>
      </c>
      <c r="O8" s="129">
        <v>1</v>
      </c>
      <c r="P8" s="129">
        <v>1</v>
      </c>
    </row>
    <row r="9" spans="1:16" x14ac:dyDescent="0.2">
      <c r="C9" s="3" t="s">
        <v>20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129">
        <v>1</v>
      </c>
      <c r="J9" s="129">
        <v>1</v>
      </c>
      <c r="K9" s="129">
        <v>1</v>
      </c>
      <c r="L9" s="129">
        <v>1</v>
      </c>
      <c r="M9" s="129">
        <v>1</v>
      </c>
      <c r="N9" s="129">
        <v>1</v>
      </c>
      <c r="O9" s="129">
        <v>1</v>
      </c>
      <c r="P9" s="129">
        <v>1</v>
      </c>
    </row>
    <row r="10" spans="1:16" x14ac:dyDescent="0.2">
      <c r="C10" s="3" t="s">
        <v>21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129">
        <v>1</v>
      </c>
      <c r="J10" s="129">
        <v>1</v>
      </c>
      <c r="K10" s="129">
        <v>1</v>
      </c>
      <c r="L10" s="129">
        <v>1</v>
      </c>
      <c r="M10" s="129">
        <v>1</v>
      </c>
      <c r="N10" s="129">
        <v>1</v>
      </c>
      <c r="O10" s="129">
        <v>1</v>
      </c>
      <c r="P10" s="129">
        <v>1</v>
      </c>
    </row>
    <row r="11" spans="1:16" x14ac:dyDescent="0.2">
      <c r="B11" t="s">
        <v>24</v>
      </c>
      <c r="C11" s="3" t="s">
        <v>9</v>
      </c>
      <c r="D11" s="102">
        <v>1</v>
      </c>
      <c r="E11" s="102">
        <v>1</v>
      </c>
      <c r="F11" s="102">
        <v>1</v>
      </c>
      <c r="G11" s="102">
        <v>1</v>
      </c>
      <c r="H11" s="102">
        <v>1</v>
      </c>
      <c r="I11" s="129">
        <v>1</v>
      </c>
      <c r="J11" s="129">
        <v>1</v>
      </c>
      <c r="K11" s="129">
        <v>1</v>
      </c>
      <c r="L11" s="129">
        <v>1</v>
      </c>
      <c r="M11" s="129">
        <v>1</v>
      </c>
      <c r="N11" s="129">
        <v>1</v>
      </c>
      <c r="O11" s="129">
        <v>1</v>
      </c>
      <c r="P11" s="129">
        <v>1</v>
      </c>
    </row>
    <row r="12" spans="1:16" x14ac:dyDescent="0.2">
      <c r="C12" s="3" t="s">
        <v>18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129">
        <v>1</v>
      </c>
      <c r="J12" s="129">
        <v>1</v>
      </c>
      <c r="K12" s="129">
        <v>1</v>
      </c>
      <c r="L12" s="129">
        <v>1</v>
      </c>
      <c r="M12" s="129">
        <v>1</v>
      </c>
      <c r="N12" s="129">
        <v>1</v>
      </c>
      <c r="O12" s="129">
        <v>1</v>
      </c>
      <c r="P12" s="129">
        <v>1</v>
      </c>
    </row>
    <row r="13" spans="1:16" x14ac:dyDescent="0.2">
      <c r="C13" s="3" t="s">
        <v>20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129">
        <v>1</v>
      </c>
      <c r="J13" s="129">
        <v>1</v>
      </c>
      <c r="K13" s="129">
        <v>1</v>
      </c>
      <c r="L13" s="129">
        <v>1</v>
      </c>
      <c r="M13" s="129">
        <v>1</v>
      </c>
      <c r="N13" s="129">
        <v>1</v>
      </c>
      <c r="O13" s="129">
        <v>1</v>
      </c>
      <c r="P13" s="129">
        <v>1</v>
      </c>
    </row>
    <row r="14" spans="1:16" x14ac:dyDescent="0.2">
      <c r="C14" s="3" t="s">
        <v>21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129">
        <v>1</v>
      </c>
      <c r="J14" s="129">
        <v>1</v>
      </c>
      <c r="K14" s="129">
        <v>1</v>
      </c>
      <c r="L14" s="129">
        <v>1</v>
      </c>
      <c r="M14" s="129">
        <v>1</v>
      </c>
      <c r="N14" s="129">
        <v>1</v>
      </c>
      <c r="O14" s="129">
        <v>1</v>
      </c>
      <c r="P14" s="129">
        <v>1</v>
      </c>
    </row>
    <row r="15" spans="1:16" x14ac:dyDescent="0.2">
      <c r="B15" t="s">
        <v>25</v>
      </c>
      <c r="C15" s="3" t="s">
        <v>9</v>
      </c>
      <c r="D15" s="102">
        <v>1</v>
      </c>
      <c r="E15" s="102">
        <v>1</v>
      </c>
      <c r="F15" s="102">
        <v>1</v>
      </c>
      <c r="G15" s="102">
        <v>1</v>
      </c>
      <c r="H15" s="102">
        <v>1</v>
      </c>
      <c r="I15" s="129">
        <v>1</v>
      </c>
      <c r="J15" s="129">
        <v>1</v>
      </c>
      <c r="K15" s="129">
        <v>1</v>
      </c>
      <c r="L15" s="129">
        <v>1</v>
      </c>
      <c r="M15" s="129">
        <v>1</v>
      </c>
      <c r="N15" s="129">
        <v>1</v>
      </c>
      <c r="O15" s="129">
        <v>1</v>
      </c>
      <c r="P15" s="129">
        <v>1</v>
      </c>
    </row>
    <row r="16" spans="1:16" x14ac:dyDescent="0.2">
      <c r="C16" s="3" t="s">
        <v>18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129">
        <v>1</v>
      </c>
      <c r="J16" s="129">
        <v>1</v>
      </c>
      <c r="K16" s="129">
        <v>1</v>
      </c>
      <c r="L16" s="129">
        <v>1</v>
      </c>
      <c r="M16" s="129">
        <v>1</v>
      </c>
      <c r="N16" s="129">
        <v>1</v>
      </c>
      <c r="O16" s="129">
        <v>1</v>
      </c>
      <c r="P16" s="129">
        <v>1</v>
      </c>
    </row>
    <row r="17" spans="1:16" x14ac:dyDescent="0.2">
      <c r="C17" s="3" t="s">
        <v>20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129">
        <v>1</v>
      </c>
      <c r="J17" s="129">
        <v>1</v>
      </c>
      <c r="K17" s="129">
        <v>1</v>
      </c>
      <c r="L17" s="129">
        <v>1</v>
      </c>
      <c r="M17" s="129">
        <v>1</v>
      </c>
      <c r="N17" s="129">
        <v>1</v>
      </c>
      <c r="O17" s="129">
        <v>1</v>
      </c>
      <c r="P17" s="129">
        <v>1</v>
      </c>
    </row>
    <row r="18" spans="1:16" x14ac:dyDescent="0.2">
      <c r="C18" s="3" t="s">
        <v>21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129">
        <v>1</v>
      </c>
      <c r="J18" s="129">
        <v>1</v>
      </c>
      <c r="K18" s="129">
        <v>1</v>
      </c>
      <c r="L18" s="129">
        <v>1</v>
      </c>
      <c r="M18" s="129">
        <v>1</v>
      </c>
      <c r="N18" s="129">
        <v>1</v>
      </c>
      <c r="O18" s="129">
        <v>1</v>
      </c>
      <c r="P18" s="129">
        <v>1</v>
      </c>
    </row>
    <row r="19" spans="1:16" x14ac:dyDescent="0.2">
      <c r="B19" t="s">
        <v>29</v>
      </c>
      <c r="C19" s="3" t="s">
        <v>9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  <c r="I19" s="129">
        <v>1</v>
      </c>
      <c r="J19" s="129">
        <v>1</v>
      </c>
      <c r="K19" s="129">
        <v>1</v>
      </c>
      <c r="L19" s="129">
        <v>1</v>
      </c>
      <c r="M19" s="129">
        <v>1</v>
      </c>
      <c r="N19" s="129">
        <v>1</v>
      </c>
      <c r="O19" s="129">
        <v>1</v>
      </c>
      <c r="P19" s="129">
        <v>1</v>
      </c>
    </row>
    <row r="20" spans="1:16" x14ac:dyDescent="0.2">
      <c r="C20" s="3" t="s">
        <v>18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129">
        <v>1</v>
      </c>
      <c r="J20" s="129">
        <v>1</v>
      </c>
      <c r="K20" s="129">
        <v>1</v>
      </c>
      <c r="L20" s="129">
        <v>1</v>
      </c>
      <c r="M20" s="129">
        <v>1</v>
      </c>
      <c r="N20" s="129">
        <v>1</v>
      </c>
      <c r="O20" s="129">
        <v>1</v>
      </c>
      <c r="P20" s="129">
        <v>1</v>
      </c>
    </row>
    <row r="21" spans="1:16" x14ac:dyDescent="0.2">
      <c r="C21" s="3" t="s">
        <v>20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129">
        <v>1</v>
      </c>
      <c r="J21" s="129">
        <v>1</v>
      </c>
      <c r="K21" s="129">
        <v>1</v>
      </c>
      <c r="L21" s="129">
        <v>1</v>
      </c>
      <c r="M21" s="129">
        <v>1</v>
      </c>
      <c r="N21" s="129">
        <v>1</v>
      </c>
      <c r="O21" s="129">
        <v>1</v>
      </c>
      <c r="P21" s="129">
        <v>1</v>
      </c>
    </row>
    <row r="22" spans="1:16" x14ac:dyDescent="0.2">
      <c r="C22" s="3" t="s">
        <v>21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129">
        <v>1</v>
      </c>
      <c r="J22" s="129">
        <v>1</v>
      </c>
      <c r="K22" s="129">
        <v>1</v>
      </c>
      <c r="L22" s="129">
        <v>1</v>
      </c>
      <c r="M22" s="129">
        <v>1</v>
      </c>
      <c r="N22" s="129">
        <v>1</v>
      </c>
      <c r="O22" s="129">
        <v>1</v>
      </c>
      <c r="P22" s="129">
        <v>1</v>
      </c>
    </row>
    <row r="24" spans="1:16" s="127" customFormat="1" x14ac:dyDescent="0.2">
      <c r="A24" s="119" t="s">
        <v>258</v>
      </c>
    </row>
    <row r="25" spans="1:16" s="8" customFormat="1" ht="25.5" x14ac:dyDescent="0.2">
      <c r="A25" s="28"/>
      <c r="B25" s="28" t="s">
        <v>256</v>
      </c>
      <c r="C25" s="28" t="s">
        <v>259</v>
      </c>
      <c r="D25" s="118" t="s">
        <v>1</v>
      </c>
      <c r="E25" s="118" t="s">
        <v>2</v>
      </c>
      <c r="F25" s="118" t="s">
        <v>3</v>
      </c>
      <c r="G25" s="118" t="s">
        <v>4</v>
      </c>
      <c r="H25" s="118" t="s">
        <v>5</v>
      </c>
      <c r="I25" s="130" t="s">
        <v>82</v>
      </c>
      <c r="J25" s="130" t="s">
        <v>83</v>
      </c>
      <c r="K25" s="130" t="s">
        <v>84</v>
      </c>
      <c r="L25" s="130" t="s">
        <v>85</v>
      </c>
      <c r="M25" s="130" t="s">
        <v>78</v>
      </c>
      <c r="N25" s="130" t="s">
        <v>79</v>
      </c>
      <c r="O25" s="130" t="s">
        <v>80</v>
      </c>
      <c r="P25" s="130" t="s">
        <v>81</v>
      </c>
    </row>
    <row r="26" spans="1:16" x14ac:dyDescent="0.2">
      <c r="A26" s="7"/>
      <c r="B26" s="80" t="s">
        <v>310</v>
      </c>
      <c r="C26" s="3" t="s">
        <v>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  <c r="I26" s="138">
        <v>1</v>
      </c>
      <c r="J26" s="129">
        <v>1</v>
      </c>
      <c r="K26" s="129">
        <v>1</v>
      </c>
      <c r="L26" s="129">
        <v>1</v>
      </c>
      <c r="M26" s="129">
        <v>1</v>
      </c>
      <c r="N26" s="129">
        <v>1</v>
      </c>
      <c r="O26" s="129">
        <v>1</v>
      </c>
      <c r="P26" s="129">
        <v>1</v>
      </c>
    </row>
    <row r="27" spans="1:16" x14ac:dyDescent="0.2">
      <c r="C27" s="3" t="s">
        <v>18</v>
      </c>
      <c r="D27" s="105">
        <v>1</v>
      </c>
      <c r="E27" s="105">
        <v>1.6</v>
      </c>
      <c r="F27" s="105">
        <v>1.6</v>
      </c>
      <c r="G27" s="105">
        <v>1.6</v>
      </c>
      <c r="H27" s="105">
        <v>1.6</v>
      </c>
      <c r="I27" s="129">
        <v>1</v>
      </c>
      <c r="J27" s="129">
        <v>1</v>
      </c>
      <c r="K27" s="129">
        <v>1</v>
      </c>
      <c r="L27" s="129">
        <v>1</v>
      </c>
      <c r="M27" s="129">
        <v>1</v>
      </c>
      <c r="N27" s="129">
        <v>1</v>
      </c>
      <c r="O27" s="129">
        <v>1</v>
      </c>
      <c r="P27" s="129">
        <v>1</v>
      </c>
    </row>
    <row r="28" spans="1:16" x14ac:dyDescent="0.2">
      <c r="C28" s="3" t="s">
        <v>112</v>
      </c>
      <c r="D28" s="105">
        <v>1</v>
      </c>
      <c r="E28" s="105">
        <v>3.41</v>
      </c>
      <c r="F28" s="105">
        <v>3.41</v>
      </c>
      <c r="G28" s="105">
        <v>3.41</v>
      </c>
      <c r="H28" s="105">
        <v>3.41</v>
      </c>
      <c r="I28" s="129">
        <v>1</v>
      </c>
      <c r="J28" s="129">
        <v>1</v>
      </c>
      <c r="K28" s="129">
        <v>1</v>
      </c>
      <c r="L28" s="129">
        <v>1</v>
      </c>
      <c r="M28" s="129">
        <v>1</v>
      </c>
      <c r="N28" s="129">
        <v>1</v>
      </c>
      <c r="O28" s="129">
        <v>1</v>
      </c>
      <c r="P28" s="129">
        <v>1</v>
      </c>
    </row>
    <row r="29" spans="1:16" x14ac:dyDescent="0.2">
      <c r="C29" s="3" t="s">
        <v>113</v>
      </c>
      <c r="D29" s="105">
        <v>1</v>
      </c>
      <c r="E29" s="105">
        <v>12.33</v>
      </c>
      <c r="F29" s="105">
        <v>12.33</v>
      </c>
      <c r="G29" s="105">
        <v>12.33</v>
      </c>
      <c r="H29" s="105">
        <v>12.33</v>
      </c>
      <c r="I29" s="129">
        <v>1</v>
      </c>
      <c r="J29" s="129">
        <v>1</v>
      </c>
      <c r="K29" s="129">
        <v>1</v>
      </c>
      <c r="L29" s="129">
        <v>1</v>
      </c>
      <c r="M29" s="129">
        <v>1</v>
      </c>
      <c r="N29" s="129">
        <v>1</v>
      </c>
      <c r="O29" s="129">
        <v>1</v>
      </c>
      <c r="P29" s="129">
        <v>1</v>
      </c>
    </row>
    <row r="30" spans="1:16" x14ac:dyDescent="0.2">
      <c r="B30" t="s">
        <v>22</v>
      </c>
      <c r="C30" s="3" t="s">
        <v>9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  <c r="I30" s="129">
        <v>1</v>
      </c>
      <c r="J30" s="129">
        <v>1</v>
      </c>
      <c r="K30" s="129">
        <v>1</v>
      </c>
      <c r="L30" s="129">
        <v>1</v>
      </c>
      <c r="M30" s="129">
        <v>1</v>
      </c>
      <c r="N30" s="129">
        <v>1</v>
      </c>
      <c r="O30" s="129">
        <v>1</v>
      </c>
      <c r="P30" s="129">
        <v>1</v>
      </c>
    </row>
    <row r="31" spans="1:16" x14ac:dyDescent="0.2">
      <c r="C31" s="3" t="s">
        <v>18</v>
      </c>
      <c r="D31" s="105">
        <v>1</v>
      </c>
      <c r="E31" s="105">
        <v>1.92</v>
      </c>
      <c r="F31" s="105">
        <v>1.92</v>
      </c>
      <c r="G31" s="105">
        <v>1.92</v>
      </c>
      <c r="H31" s="105">
        <v>1.92</v>
      </c>
      <c r="I31" s="129">
        <v>1</v>
      </c>
      <c r="J31" s="129">
        <v>1</v>
      </c>
      <c r="K31" s="129">
        <v>1</v>
      </c>
      <c r="L31" s="129">
        <v>1</v>
      </c>
      <c r="M31" s="129">
        <v>1</v>
      </c>
      <c r="N31" s="129">
        <v>1</v>
      </c>
      <c r="O31" s="129">
        <v>1</v>
      </c>
      <c r="P31" s="129">
        <v>1</v>
      </c>
    </row>
    <row r="32" spans="1:16" x14ac:dyDescent="0.2">
      <c r="C32" s="3" t="s">
        <v>112</v>
      </c>
      <c r="D32" s="105">
        <v>1</v>
      </c>
      <c r="E32" s="105">
        <v>4.66</v>
      </c>
      <c r="F32" s="105">
        <v>4.66</v>
      </c>
      <c r="G32" s="105">
        <v>4.66</v>
      </c>
      <c r="H32" s="105">
        <v>4.66</v>
      </c>
      <c r="I32" s="129">
        <v>1</v>
      </c>
      <c r="J32" s="129">
        <v>1</v>
      </c>
      <c r="K32" s="129">
        <v>1</v>
      </c>
      <c r="L32" s="129">
        <v>1</v>
      </c>
      <c r="M32" s="129">
        <v>1</v>
      </c>
      <c r="N32" s="129">
        <v>1</v>
      </c>
      <c r="O32" s="129">
        <v>1</v>
      </c>
      <c r="P32" s="129">
        <v>1</v>
      </c>
    </row>
    <row r="33" spans="1:16" x14ac:dyDescent="0.2">
      <c r="C33" s="3" t="s">
        <v>113</v>
      </c>
      <c r="D33" s="105">
        <v>1</v>
      </c>
      <c r="E33" s="105">
        <v>9.68</v>
      </c>
      <c r="F33" s="105">
        <v>9.68</v>
      </c>
      <c r="G33" s="105">
        <v>9.68</v>
      </c>
      <c r="H33" s="105">
        <v>9.68</v>
      </c>
      <c r="I33" s="129">
        <v>1</v>
      </c>
      <c r="J33" s="129">
        <v>1</v>
      </c>
      <c r="K33" s="129">
        <v>1</v>
      </c>
      <c r="L33" s="129">
        <v>1</v>
      </c>
      <c r="M33" s="129">
        <v>1</v>
      </c>
      <c r="N33" s="129">
        <v>1</v>
      </c>
      <c r="O33" s="129">
        <v>1</v>
      </c>
      <c r="P33" s="129">
        <v>1</v>
      </c>
    </row>
    <row r="34" spans="1:16" x14ac:dyDescent="0.2">
      <c r="B34" t="s">
        <v>24</v>
      </c>
      <c r="C34" s="3" t="s">
        <v>9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  <c r="I34" s="129">
        <v>1</v>
      </c>
      <c r="J34" s="129">
        <v>1</v>
      </c>
      <c r="K34" s="129">
        <v>1</v>
      </c>
      <c r="L34" s="129">
        <v>1</v>
      </c>
      <c r="M34" s="129">
        <v>1</v>
      </c>
      <c r="N34" s="129">
        <v>1</v>
      </c>
      <c r="O34" s="129">
        <v>1</v>
      </c>
      <c r="P34" s="129">
        <v>1</v>
      </c>
    </row>
    <row r="35" spans="1:16" x14ac:dyDescent="0.2">
      <c r="C35" s="3" t="s">
        <v>18</v>
      </c>
      <c r="D35" s="105">
        <v>1</v>
      </c>
      <c r="E35" s="105">
        <v>1</v>
      </c>
      <c r="F35" s="105">
        <v>1</v>
      </c>
      <c r="G35" s="105">
        <v>1</v>
      </c>
      <c r="H35" s="105">
        <v>1</v>
      </c>
      <c r="I35" s="129">
        <v>1</v>
      </c>
      <c r="J35" s="129">
        <v>1</v>
      </c>
      <c r="K35" s="129">
        <v>1</v>
      </c>
      <c r="L35" s="129">
        <v>1</v>
      </c>
      <c r="M35" s="129">
        <v>1</v>
      </c>
      <c r="N35" s="129">
        <v>1</v>
      </c>
      <c r="O35" s="129">
        <v>1</v>
      </c>
      <c r="P35" s="129">
        <v>1</v>
      </c>
    </row>
    <row r="36" spans="1:16" x14ac:dyDescent="0.2">
      <c r="C36" s="3" t="s">
        <v>112</v>
      </c>
      <c r="D36" s="105">
        <v>1</v>
      </c>
      <c r="E36" s="105">
        <v>2.58</v>
      </c>
      <c r="F36" s="105">
        <v>2.58</v>
      </c>
      <c r="G36" s="105">
        <v>2.58</v>
      </c>
      <c r="H36" s="105">
        <v>2.58</v>
      </c>
      <c r="I36" s="129">
        <v>1</v>
      </c>
      <c r="J36" s="129">
        <v>1</v>
      </c>
      <c r="K36" s="129">
        <v>1</v>
      </c>
      <c r="L36" s="129">
        <v>1</v>
      </c>
      <c r="M36" s="129">
        <v>1</v>
      </c>
      <c r="N36" s="129">
        <v>1</v>
      </c>
      <c r="O36" s="129">
        <v>1</v>
      </c>
      <c r="P36" s="129">
        <v>1</v>
      </c>
    </row>
    <row r="37" spans="1:16" x14ac:dyDescent="0.2">
      <c r="C37" s="3" t="s">
        <v>113</v>
      </c>
      <c r="D37" s="105">
        <v>1</v>
      </c>
      <c r="E37" s="105">
        <v>9.6300000000000008</v>
      </c>
      <c r="F37" s="105">
        <v>9.6300000000000008</v>
      </c>
      <c r="G37" s="105">
        <v>9.6300000000000008</v>
      </c>
      <c r="H37" s="105">
        <v>9.6300000000000008</v>
      </c>
      <c r="I37" s="129">
        <v>1</v>
      </c>
      <c r="J37" s="129">
        <v>1</v>
      </c>
      <c r="K37" s="129">
        <v>1</v>
      </c>
      <c r="L37" s="129">
        <v>1</v>
      </c>
      <c r="M37" s="129">
        <v>1</v>
      </c>
      <c r="N37" s="129">
        <v>1</v>
      </c>
      <c r="O37" s="129">
        <v>1</v>
      </c>
      <c r="P37" s="129">
        <v>1</v>
      </c>
    </row>
    <row r="38" spans="1:16" x14ac:dyDescent="0.2">
      <c r="B38" t="s">
        <v>25</v>
      </c>
      <c r="C38" s="3" t="s">
        <v>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29">
        <v>1</v>
      </c>
      <c r="J38" s="129">
        <v>1</v>
      </c>
      <c r="K38" s="129">
        <v>1</v>
      </c>
      <c r="L38" s="129">
        <v>1</v>
      </c>
      <c r="M38" s="129">
        <v>1</v>
      </c>
      <c r="N38" s="129">
        <v>1</v>
      </c>
      <c r="O38" s="129">
        <v>1</v>
      </c>
      <c r="P38" s="129">
        <v>1</v>
      </c>
    </row>
    <row r="39" spans="1:16" x14ac:dyDescent="0.2">
      <c r="C39" s="3" t="s">
        <v>18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129">
        <v>1</v>
      </c>
      <c r="J39" s="129">
        <v>1</v>
      </c>
      <c r="K39" s="129">
        <v>1</v>
      </c>
      <c r="L39" s="129">
        <v>1</v>
      </c>
      <c r="M39" s="129">
        <v>1</v>
      </c>
      <c r="N39" s="129">
        <v>1</v>
      </c>
      <c r="O39" s="129">
        <v>1</v>
      </c>
      <c r="P39" s="129">
        <v>1</v>
      </c>
    </row>
    <row r="40" spans="1:16" x14ac:dyDescent="0.2">
      <c r="C40" s="3" t="s">
        <v>112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  <c r="I40" s="129">
        <v>1</v>
      </c>
      <c r="J40" s="129">
        <v>1</v>
      </c>
      <c r="K40" s="129">
        <v>1</v>
      </c>
      <c r="L40" s="129">
        <v>1</v>
      </c>
      <c r="M40" s="129">
        <v>1</v>
      </c>
      <c r="N40" s="129">
        <v>1</v>
      </c>
      <c r="O40" s="129">
        <v>1</v>
      </c>
      <c r="P40" s="129">
        <v>1</v>
      </c>
    </row>
    <row r="41" spans="1:16" x14ac:dyDescent="0.2">
      <c r="C41" s="3" t="s">
        <v>113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  <c r="I41" s="129">
        <v>1</v>
      </c>
      <c r="J41" s="129">
        <v>1</v>
      </c>
      <c r="K41" s="129">
        <v>1</v>
      </c>
      <c r="L41" s="129">
        <v>1</v>
      </c>
      <c r="M41" s="129">
        <v>1</v>
      </c>
      <c r="N41" s="129">
        <v>1</v>
      </c>
      <c r="O41" s="129">
        <v>1</v>
      </c>
      <c r="P41" s="129">
        <v>1</v>
      </c>
    </row>
    <row r="42" spans="1:16" x14ac:dyDescent="0.2">
      <c r="B42" t="s">
        <v>29</v>
      </c>
      <c r="C42" s="3" t="s">
        <v>9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29">
        <v>1</v>
      </c>
      <c r="J42" s="129">
        <v>1</v>
      </c>
      <c r="K42" s="129">
        <v>1</v>
      </c>
      <c r="L42" s="129">
        <v>1</v>
      </c>
      <c r="M42" s="129">
        <v>1</v>
      </c>
      <c r="N42" s="129">
        <v>1</v>
      </c>
      <c r="O42" s="129">
        <v>1</v>
      </c>
      <c r="P42" s="129">
        <v>1</v>
      </c>
    </row>
    <row r="43" spans="1:16" x14ac:dyDescent="0.2">
      <c r="C43" s="3" t="s">
        <v>18</v>
      </c>
      <c r="D43" s="105">
        <v>1</v>
      </c>
      <c r="E43" s="105">
        <v>1.65</v>
      </c>
      <c r="F43" s="105">
        <v>1.65</v>
      </c>
      <c r="G43" s="105">
        <v>1.65</v>
      </c>
      <c r="H43" s="105">
        <v>1.65</v>
      </c>
      <c r="I43" s="129">
        <v>1</v>
      </c>
      <c r="J43" s="129">
        <v>1</v>
      </c>
      <c r="K43" s="129">
        <v>1</v>
      </c>
      <c r="L43" s="129">
        <v>1</v>
      </c>
      <c r="M43" s="129">
        <v>1</v>
      </c>
      <c r="N43" s="129">
        <v>1</v>
      </c>
      <c r="O43" s="129">
        <v>1</v>
      </c>
      <c r="P43" s="129">
        <v>1</v>
      </c>
    </row>
    <row r="44" spans="1:16" x14ac:dyDescent="0.2">
      <c r="C44" s="3" t="s">
        <v>112</v>
      </c>
      <c r="D44" s="105">
        <v>1</v>
      </c>
      <c r="E44" s="105">
        <v>2.73</v>
      </c>
      <c r="F44" s="105">
        <v>2.73</v>
      </c>
      <c r="G44" s="105">
        <v>2.73</v>
      </c>
      <c r="H44" s="105">
        <v>2.73</v>
      </c>
      <c r="I44" s="129">
        <v>1</v>
      </c>
      <c r="J44" s="129">
        <v>1</v>
      </c>
      <c r="K44" s="129">
        <v>1</v>
      </c>
      <c r="L44" s="129">
        <v>1</v>
      </c>
      <c r="M44" s="129">
        <v>1</v>
      </c>
      <c r="N44" s="129">
        <v>1</v>
      </c>
      <c r="O44" s="129">
        <v>1</v>
      </c>
      <c r="P44" s="129">
        <v>1</v>
      </c>
    </row>
    <row r="45" spans="1:16" x14ac:dyDescent="0.2">
      <c r="C45" s="3" t="s">
        <v>113</v>
      </c>
      <c r="D45" s="105">
        <v>1</v>
      </c>
      <c r="E45" s="105">
        <v>11.21</v>
      </c>
      <c r="F45" s="105">
        <v>11.21</v>
      </c>
      <c r="G45" s="105">
        <v>11.21</v>
      </c>
      <c r="H45" s="105">
        <v>11.21</v>
      </c>
      <c r="I45" s="129">
        <v>1</v>
      </c>
      <c r="J45" s="129">
        <v>1</v>
      </c>
      <c r="K45" s="129">
        <v>1</v>
      </c>
      <c r="L45" s="129">
        <v>1</v>
      </c>
      <c r="M45" s="129">
        <v>1</v>
      </c>
      <c r="N45" s="129">
        <v>1</v>
      </c>
      <c r="O45" s="129">
        <v>1</v>
      </c>
      <c r="P45" s="129">
        <v>1</v>
      </c>
    </row>
    <row r="46" spans="1:16" x14ac:dyDescent="0.2">
      <c r="C46" s="3"/>
      <c r="D46" s="3"/>
    </row>
    <row r="47" spans="1:16" s="127" customFormat="1" x14ac:dyDescent="0.2">
      <c r="A47" s="119" t="s">
        <v>263</v>
      </c>
    </row>
    <row r="48" spans="1:16" s="8" customFormat="1" ht="25.5" x14ac:dyDescent="0.2">
      <c r="A48" s="28"/>
      <c r="B48" s="28" t="s">
        <v>256</v>
      </c>
      <c r="C48" s="128" t="s">
        <v>260</v>
      </c>
      <c r="D48" s="130" t="s">
        <v>1</v>
      </c>
      <c r="E48" s="130" t="s">
        <v>2</v>
      </c>
      <c r="F48" s="130" t="s">
        <v>3</v>
      </c>
      <c r="G48" s="130" t="s">
        <v>4</v>
      </c>
      <c r="H48" s="130" t="s">
        <v>5</v>
      </c>
      <c r="I48" s="118" t="s">
        <v>82</v>
      </c>
      <c r="J48" s="118" t="s">
        <v>83</v>
      </c>
      <c r="K48" s="118" t="s">
        <v>84</v>
      </c>
      <c r="L48" s="118" t="s">
        <v>85</v>
      </c>
      <c r="M48" s="130" t="s">
        <v>78</v>
      </c>
      <c r="N48" s="130" t="s">
        <v>79</v>
      </c>
      <c r="O48" s="130" t="s">
        <v>80</v>
      </c>
      <c r="P48" s="130" t="s">
        <v>81</v>
      </c>
    </row>
    <row r="49" spans="1:16" hidden="1" x14ac:dyDescent="0.2">
      <c r="A49" s="7"/>
      <c r="B49" t="s">
        <v>160</v>
      </c>
      <c r="C49" s="3" t="s">
        <v>157</v>
      </c>
      <c r="D49" s="129">
        <v>1</v>
      </c>
      <c r="E49" s="129">
        <v>1</v>
      </c>
      <c r="F49" s="129">
        <v>1</v>
      </c>
      <c r="G49" s="129">
        <v>1</v>
      </c>
      <c r="H49" s="129">
        <v>1</v>
      </c>
      <c r="I49">
        <v>1</v>
      </c>
      <c r="J49">
        <v>1</v>
      </c>
      <c r="K49">
        <v>1</v>
      </c>
      <c r="L49">
        <v>1</v>
      </c>
      <c r="M49" s="129">
        <v>1</v>
      </c>
      <c r="N49" s="129">
        <v>1</v>
      </c>
      <c r="O49" s="129">
        <v>1</v>
      </c>
      <c r="P49" s="129">
        <v>1</v>
      </c>
    </row>
    <row r="50" spans="1:16" hidden="1" x14ac:dyDescent="0.2">
      <c r="C50" s="3" t="s">
        <v>158</v>
      </c>
      <c r="D50" s="129">
        <v>1</v>
      </c>
      <c r="E50" s="129">
        <v>1</v>
      </c>
      <c r="F50" s="129">
        <v>1</v>
      </c>
      <c r="G50" s="129">
        <v>1</v>
      </c>
      <c r="H50" s="129">
        <v>1</v>
      </c>
      <c r="I50">
        <v>1</v>
      </c>
      <c r="J50">
        <v>1</v>
      </c>
      <c r="K50">
        <v>1</v>
      </c>
      <c r="L50">
        <v>1</v>
      </c>
      <c r="M50" s="129">
        <v>1</v>
      </c>
      <c r="N50" s="129">
        <v>1</v>
      </c>
      <c r="O50" s="129">
        <v>1</v>
      </c>
      <c r="P50" s="129">
        <v>1</v>
      </c>
    </row>
    <row r="51" spans="1:16" hidden="1" x14ac:dyDescent="0.2">
      <c r="B51" t="s">
        <v>22</v>
      </c>
      <c r="C51" s="3" t="s">
        <v>157</v>
      </c>
      <c r="D51" s="129">
        <v>1</v>
      </c>
      <c r="E51" s="129">
        <v>1</v>
      </c>
      <c r="F51" s="129">
        <v>1</v>
      </c>
      <c r="G51" s="129">
        <v>1</v>
      </c>
      <c r="H51" s="129">
        <v>1</v>
      </c>
      <c r="I51">
        <v>1</v>
      </c>
      <c r="J51">
        <v>1</v>
      </c>
      <c r="K51">
        <v>1</v>
      </c>
      <c r="L51">
        <v>1</v>
      </c>
      <c r="M51" s="129">
        <v>1</v>
      </c>
      <c r="N51" s="129">
        <v>1</v>
      </c>
      <c r="O51" s="129">
        <v>1</v>
      </c>
      <c r="P51" s="129">
        <v>1</v>
      </c>
    </row>
    <row r="52" spans="1:16" hidden="1" x14ac:dyDescent="0.2">
      <c r="C52" s="3" t="s">
        <v>158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>
        <v>1</v>
      </c>
      <c r="J52">
        <v>1</v>
      </c>
      <c r="K52">
        <v>1</v>
      </c>
      <c r="L52">
        <v>1</v>
      </c>
      <c r="M52" s="129">
        <v>1</v>
      </c>
      <c r="N52" s="129">
        <v>1</v>
      </c>
      <c r="O52" s="129">
        <v>1</v>
      </c>
      <c r="P52" s="129">
        <v>1</v>
      </c>
    </row>
    <row r="53" spans="1:16" hidden="1" x14ac:dyDescent="0.2">
      <c r="B53" t="s">
        <v>24</v>
      </c>
      <c r="C53" s="3" t="s">
        <v>157</v>
      </c>
      <c r="D53" s="129">
        <v>1</v>
      </c>
      <c r="E53" s="129">
        <v>1</v>
      </c>
      <c r="F53" s="129">
        <v>1</v>
      </c>
      <c r="G53" s="129">
        <v>1</v>
      </c>
      <c r="H53" s="129">
        <v>1</v>
      </c>
      <c r="I53">
        <v>1</v>
      </c>
      <c r="J53">
        <v>1</v>
      </c>
      <c r="K53">
        <v>1</v>
      </c>
      <c r="L53">
        <v>1</v>
      </c>
      <c r="M53" s="129">
        <v>1</v>
      </c>
      <c r="N53" s="129">
        <v>1</v>
      </c>
      <c r="O53" s="129">
        <v>1</v>
      </c>
      <c r="P53" s="129">
        <v>1</v>
      </c>
    </row>
    <row r="54" spans="1:16" hidden="1" x14ac:dyDescent="0.2">
      <c r="C54" s="3" t="s">
        <v>158</v>
      </c>
      <c r="D54" s="129">
        <v>1</v>
      </c>
      <c r="E54" s="129">
        <v>1</v>
      </c>
      <c r="F54" s="129">
        <v>1</v>
      </c>
      <c r="G54" s="129">
        <v>1</v>
      </c>
      <c r="H54" s="129">
        <v>1</v>
      </c>
      <c r="I54">
        <v>1</v>
      </c>
      <c r="J54">
        <v>1</v>
      </c>
      <c r="K54">
        <v>1</v>
      </c>
      <c r="L54">
        <v>1</v>
      </c>
      <c r="M54" s="129">
        <v>1</v>
      </c>
      <c r="N54" s="129">
        <v>1</v>
      </c>
      <c r="O54" s="129">
        <v>1</v>
      </c>
      <c r="P54" s="129">
        <v>1</v>
      </c>
    </row>
    <row r="55" spans="1:16" hidden="1" x14ac:dyDescent="0.2">
      <c r="B55" t="s">
        <v>25</v>
      </c>
      <c r="C55" s="3" t="s">
        <v>157</v>
      </c>
      <c r="D55" s="129">
        <v>1</v>
      </c>
      <c r="E55" s="129">
        <v>1</v>
      </c>
      <c r="F55" s="129">
        <v>1</v>
      </c>
      <c r="G55" s="129">
        <v>1</v>
      </c>
      <c r="H55" s="129">
        <v>1</v>
      </c>
      <c r="I55">
        <v>1</v>
      </c>
      <c r="J55">
        <v>1</v>
      </c>
      <c r="K55">
        <v>1</v>
      </c>
      <c r="L55">
        <v>1</v>
      </c>
      <c r="M55" s="129">
        <v>1</v>
      </c>
      <c r="N55" s="129">
        <v>1</v>
      </c>
      <c r="O55" s="129">
        <v>1</v>
      </c>
      <c r="P55" s="129">
        <v>1</v>
      </c>
    </row>
    <row r="56" spans="1:16" hidden="1" x14ac:dyDescent="0.2">
      <c r="C56" s="3" t="s">
        <v>158</v>
      </c>
      <c r="D56" s="129">
        <v>1</v>
      </c>
      <c r="E56" s="129">
        <v>1</v>
      </c>
      <c r="F56" s="129">
        <v>1</v>
      </c>
      <c r="G56" s="129">
        <v>1</v>
      </c>
      <c r="H56" s="129">
        <v>1</v>
      </c>
      <c r="I56">
        <v>1</v>
      </c>
      <c r="J56">
        <v>1</v>
      </c>
      <c r="K56">
        <v>1</v>
      </c>
      <c r="L56">
        <v>1</v>
      </c>
      <c r="M56" s="129">
        <v>1</v>
      </c>
      <c r="N56" s="129">
        <v>1</v>
      </c>
      <c r="O56" s="129">
        <v>1</v>
      </c>
      <c r="P56" s="129">
        <v>1</v>
      </c>
    </row>
    <row r="57" spans="1:16" hidden="1" x14ac:dyDescent="0.2">
      <c r="B57" t="s">
        <v>29</v>
      </c>
      <c r="C57" s="3" t="s">
        <v>157</v>
      </c>
      <c r="D57" s="129">
        <v>1</v>
      </c>
      <c r="E57" s="129">
        <v>1</v>
      </c>
      <c r="F57" s="129">
        <v>1</v>
      </c>
      <c r="G57" s="129">
        <v>1</v>
      </c>
      <c r="H57" s="129">
        <v>1</v>
      </c>
      <c r="I57">
        <v>1</v>
      </c>
      <c r="J57">
        <v>1</v>
      </c>
      <c r="K57">
        <v>1</v>
      </c>
      <c r="L57">
        <v>1</v>
      </c>
      <c r="M57" s="129">
        <v>1</v>
      </c>
      <c r="N57" s="129">
        <v>1</v>
      </c>
      <c r="O57" s="129">
        <v>1</v>
      </c>
      <c r="P57" s="129">
        <v>1</v>
      </c>
    </row>
    <row r="58" spans="1:16" hidden="1" x14ac:dyDescent="0.2">
      <c r="C58" s="3" t="s">
        <v>158</v>
      </c>
      <c r="D58" s="129">
        <v>1</v>
      </c>
      <c r="E58" s="129">
        <v>1</v>
      </c>
      <c r="F58" s="129">
        <v>1</v>
      </c>
      <c r="G58" s="129">
        <v>1</v>
      </c>
      <c r="H58" s="129">
        <v>1</v>
      </c>
      <c r="I58">
        <v>1</v>
      </c>
      <c r="J58">
        <v>1</v>
      </c>
      <c r="K58">
        <v>1</v>
      </c>
      <c r="L58">
        <v>1</v>
      </c>
      <c r="M58" s="129">
        <v>1</v>
      </c>
      <c r="N58" s="129">
        <v>1</v>
      </c>
      <c r="O58" s="129">
        <v>1</v>
      </c>
      <c r="P58" s="129">
        <v>1</v>
      </c>
    </row>
    <row r="59" spans="1:16" x14ac:dyDescent="0.2">
      <c r="A59" s="7"/>
      <c r="B59" t="s">
        <v>63</v>
      </c>
      <c r="C59" s="3" t="s">
        <v>157</v>
      </c>
      <c r="D59" s="129">
        <v>1</v>
      </c>
      <c r="E59" s="129">
        <v>1</v>
      </c>
      <c r="F59" s="129">
        <v>1</v>
      </c>
      <c r="G59" s="129">
        <v>1</v>
      </c>
      <c r="H59" s="129">
        <v>1</v>
      </c>
      <c r="I59" s="102">
        <v>1</v>
      </c>
      <c r="J59" s="102">
        <v>1</v>
      </c>
      <c r="K59" s="102">
        <v>1</v>
      </c>
      <c r="L59" s="102">
        <v>1</v>
      </c>
      <c r="M59" s="129">
        <v>1</v>
      </c>
      <c r="N59" s="129">
        <v>1</v>
      </c>
      <c r="O59" s="129">
        <v>1</v>
      </c>
      <c r="P59" s="129">
        <v>1</v>
      </c>
    </row>
    <row r="60" spans="1:16" x14ac:dyDescent="0.2">
      <c r="C60" s="3" t="s">
        <v>158</v>
      </c>
      <c r="D60" s="129">
        <v>1</v>
      </c>
      <c r="E60" s="129">
        <v>1</v>
      </c>
      <c r="F60" s="129">
        <v>1</v>
      </c>
      <c r="G60" s="129">
        <v>1</v>
      </c>
      <c r="H60" s="129">
        <v>1</v>
      </c>
      <c r="I60" s="105">
        <v>3.51</v>
      </c>
      <c r="J60" s="105">
        <v>3.51</v>
      </c>
      <c r="K60" s="105">
        <v>3.51</v>
      </c>
      <c r="L60" s="105">
        <v>3.51</v>
      </c>
      <c r="M60" s="129">
        <v>1</v>
      </c>
      <c r="N60" s="129">
        <v>1</v>
      </c>
      <c r="O60" s="129">
        <v>1</v>
      </c>
      <c r="P60" s="129">
        <v>1</v>
      </c>
    </row>
    <row r="61" spans="1:16" x14ac:dyDescent="0.2">
      <c r="B61" t="s">
        <v>64</v>
      </c>
      <c r="C61" s="3" t="s">
        <v>157</v>
      </c>
      <c r="D61" s="129">
        <v>1</v>
      </c>
      <c r="E61" s="129">
        <v>1</v>
      </c>
      <c r="F61" s="129">
        <v>1</v>
      </c>
      <c r="G61" s="129">
        <v>1</v>
      </c>
      <c r="H61" s="129">
        <v>1</v>
      </c>
      <c r="I61" s="102">
        <v>1</v>
      </c>
      <c r="J61" s="102">
        <v>1</v>
      </c>
      <c r="K61" s="102">
        <v>1</v>
      </c>
      <c r="L61" s="102">
        <v>1</v>
      </c>
      <c r="M61" s="129">
        <v>1</v>
      </c>
      <c r="N61" s="129">
        <v>1</v>
      </c>
      <c r="O61" s="129">
        <v>1</v>
      </c>
      <c r="P61" s="129">
        <v>1</v>
      </c>
    </row>
    <row r="62" spans="1:16" x14ac:dyDescent="0.2">
      <c r="C62" s="3" t="s">
        <v>158</v>
      </c>
      <c r="D62" s="129">
        <v>1</v>
      </c>
      <c r="E62" s="129">
        <v>1</v>
      </c>
      <c r="F62" s="129">
        <v>1</v>
      </c>
      <c r="G62" s="129">
        <v>1</v>
      </c>
      <c r="H62" s="129">
        <v>1</v>
      </c>
      <c r="I62" s="105">
        <v>3.51</v>
      </c>
      <c r="J62" s="105">
        <v>3.51</v>
      </c>
      <c r="K62" s="105">
        <v>3.51</v>
      </c>
      <c r="L62" s="105">
        <v>3.51</v>
      </c>
      <c r="M62" s="129">
        <v>1</v>
      </c>
      <c r="N62" s="129">
        <v>1</v>
      </c>
      <c r="O62" s="129">
        <v>1</v>
      </c>
      <c r="P62" s="129">
        <v>1</v>
      </c>
    </row>
    <row r="63" spans="1:16" x14ac:dyDescent="0.2">
      <c r="B63" t="s">
        <v>65</v>
      </c>
      <c r="C63" s="3" t="s">
        <v>157</v>
      </c>
      <c r="D63" s="129">
        <v>1</v>
      </c>
      <c r="E63" s="129">
        <v>1</v>
      </c>
      <c r="F63" s="129">
        <v>1</v>
      </c>
      <c r="G63" s="129">
        <v>1</v>
      </c>
      <c r="H63" s="129">
        <v>1</v>
      </c>
      <c r="I63" s="102">
        <v>1</v>
      </c>
      <c r="J63" s="102">
        <v>1</v>
      </c>
      <c r="K63" s="102">
        <v>1</v>
      </c>
      <c r="L63" s="102">
        <v>1</v>
      </c>
      <c r="M63" s="129">
        <v>1</v>
      </c>
      <c r="N63" s="129">
        <v>1</v>
      </c>
      <c r="O63" s="129">
        <v>1</v>
      </c>
      <c r="P63" s="129">
        <v>1</v>
      </c>
    </row>
    <row r="64" spans="1:16" x14ac:dyDescent="0.2">
      <c r="C64" s="3" t="s">
        <v>158</v>
      </c>
      <c r="D64" s="129">
        <v>1</v>
      </c>
      <c r="E64" s="129">
        <v>1</v>
      </c>
      <c r="F64" s="129">
        <v>1</v>
      </c>
      <c r="G64" s="129">
        <v>1</v>
      </c>
      <c r="H64" s="129">
        <v>1</v>
      </c>
      <c r="I64" s="105">
        <v>3.51</v>
      </c>
      <c r="J64" s="105">
        <v>3.51</v>
      </c>
      <c r="K64" s="105">
        <v>3.51</v>
      </c>
      <c r="L64" s="105">
        <v>3.51</v>
      </c>
      <c r="M64" s="129">
        <v>1</v>
      </c>
      <c r="N64" s="129">
        <v>1</v>
      </c>
      <c r="O64" s="129">
        <v>1</v>
      </c>
      <c r="P64" s="129">
        <v>1</v>
      </c>
    </row>
    <row r="65" spans="1:16" x14ac:dyDescent="0.2">
      <c r="C65" s="3"/>
      <c r="D65" s="3"/>
    </row>
    <row r="66" spans="1:16" s="127" customFormat="1" x14ac:dyDescent="0.2">
      <c r="A66" s="119" t="s">
        <v>261</v>
      </c>
    </row>
    <row r="67" spans="1:16" s="8" customFormat="1" ht="25.5" x14ac:dyDescent="0.2">
      <c r="A67" s="28"/>
      <c r="B67" s="28" t="s">
        <v>256</v>
      </c>
      <c r="C67" s="128" t="s">
        <v>262</v>
      </c>
      <c r="D67" s="118" t="s">
        <v>1</v>
      </c>
      <c r="E67" s="118" t="s">
        <v>2</v>
      </c>
      <c r="F67" s="118" t="s">
        <v>3</v>
      </c>
      <c r="G67" s="118" t="s">
        <v>4</v>
      </c>
      <c r="H67" s="130" t="s">
        <v>5</v>
      </c>
      <c r="I67" s="130" t="s">
        <v>82</v>
      </c>
      <c r="J67" s="130" t="s">
        <v>83</v>
      </c>
      <c r="K67" s="130" t="s">
        <v>84</v>
      </c>
      <c r="L67" s="130" t="s">
        <v>85</v>
      </c>
      <c r="M67" s="130" t="s">
        <v>78</v>
      </c>
      <c r="N67" s="130" t="s">
        <v>79</v>
      </c>
      <c r="O67" s="130" t="s">
        <v>80</v>
      </c>
      <c r="P67" s="130" t="s">
        <v>81</v>
      </c>
    </row>
    <row r="68" spans="1:16" x14ac:dyDescent="0.2">
      <c r="A68" s="7"/>
      <c r="B68" t="s">
        <v>163</v>
      </c>
      <c r="C68" s="3" t="s">
        <v>31</v>
      </c>
      <c r="D68" s="102">
        <v>1</v>
      </c>
      <c r="E68" s="102">
        <v>1</v>
      </c>
      <c r="F68" s="102">
        <v>1</v>
      </c>
      <c r="G68" s="102">
        <v>1</v>
      </c>
      <c r="H68" s="129">
        <v>1</v>
      </c>
      <c r="I68" s="129">
        <v>1</v>
      </c>
      <c r="J68" s="129">
        <v>1</v>
      </c>
      <c r="K68" s="129">
        <v>1</v>
      </c>
      <c r="L68" s="129">
        <v>1</v>
      </c>
      <c r="M68" s="129">
        <v>1</v>
      </c>
      <c r="N68" s="129">
        <v>1</v>
      </c>
      <c r="O68" s="129">
        <v>1</v>
      </c>
      <c r="P68" s="129">
        <v>1</v>
      </c>
    </row>
    <row r="69" spans="1:16" x14ac:dyDescent="0.2">
      <c r="C69" s="3" t="s">
        <v>32</v>
      </c>
      <c r="D69" s="105">
        <v>2.2799999999999998</v>
      </c>
      <c r="E69" s="105">
        <v>1</v>
      </c>
      <c r="F69" s="105">
        <v>1</v>
      </c>
      <c r="G69" s="105">
        <v>1</v>
      </c>
      <c r="H69" s="129">
        <v>1</v>
      </c>
      <c r="I69" s="129">
        <v>1</v>
      </c>
      <c r="J69" s="129">
        <v>1</v>
      </c>
      <c r="K69" s="129">
        <v>1</v>
      </c>
      <c r="L69" s="129">
        <v>1</v>
      </c>
      <c r="M69" s="129">
        <v>1</v>
      </c>
      <c r="N69" s="129">
        <v>1</v>
      </c>
      <c r="O69" s="129">
        <v>1</v>
      </c>
      <c r="P69" s="129">
        <v>1</v>
      </c>
    </row>
    <row r="70" spans="1:16" x14ac:dyDescent="0.2">
      <c r="C70" s="3" t="s">
        <v>33</v>
      </c>
      <c r="D70" s="105">
        <v>4.62</v>
      </c>
      <c r="E70" s="105">
        <v>1</v>
      </c>
      <c r="F70" s="105">
        <v>1</v>
      </c>
      <c r="G70" s="105">
        <v>1</v>
      </c>
      <c r="H70" s="129">
        <v>1</v>
      </c>
      <c r="I70" s="129">
        <v>1</v>
      </c>
      <c r="J70" s="129">
        <v>1</v>
      </c>
      <c r="K70" s="129">
        <v>1</v>
      </c>
      <c r="L70" s="129">
        <v>1</v>
      </c>
      <c r="M70" s="129">
        <v>1</v>
      </c>
      <c r="N70" s="129">
        <v>1</v>
      </c>
      <c r="O70" s="129">
        <v>1</v>
      </c>
      <c r="P70" s="129">
        <v>1</v>
      </c>
    </row>
    <row r="71" spans="1:16" x14ac:dyDescent="0.2">
      <c r="C71" s="3" t="s">
        <v>34</v>
      </c>
      <c r="D71" s="105">
        <v>10.53</v>
      </c>
      <c r="E71" s="105">
        <v>1</v>
      </c>
      <c r="F71" s="105">
        <v>1</v>
      </c>
      <c r="G71" s="105">
        <v>1</v>
      </c>
      <c r="H71" s="129">
        <v>1</v>
      </c>
      <c r="I71" s="129">
        <v>1</v>
      </c>
      <c r="J71" s="129">
        <v>1</v>
      </c>
      <c r="K71" s="129">
        <v>1</v>
      </c>
      <c r="L71" s="129">
        <v>1</v>
      </c>
      <c r="M71" s="129">
        <v>1</v>
      </c>
      <c r="N71" s="129">
        <v>1</v>
      </c>
      <c r="O71" s="129">
        <v>1</v>
      </c>
      <c r="P71" s="129">
        <v>1</v>
      </c>
    </row>
    <row r="72" spans="1:16" x14ac:dyDescent="0.2">
      <c r="B72" t="s">
        <v>10</v>
      </c>
      <c r="C72" s="3" t="s">
        <v>31</v>
      </c>
      <c r="D72" s="102">
        <v>1</v>
      </c>
      <c r="E72" s="102">
        <v>1</v>
      </c>
      <c r="F72" s="102">
        <v>1</v>
      </c>
      <c r="G72" s="102">
        <v>1</v>
      </c>
      <c r="H72" s="129">
        <v>1</v>
      </c>
      <c r="I72" s="129">
        <v>1</v>
      </c>
      <c r="J72" s="129">
        <v>1</v>
      </c>
      <c r="K72" s="129">
        <v>1</v>
      </c>
      <c r="L72" s="129">
        <v>1</v>
      </c>
      <c r="M72" s="129">
        <v>1</v>
      </c>
      <c r="N72" s="129">
        <v>1</v>
      </c>
      <c r="O72" s="129">
        <v>1</v>
      </c>
      <c r="P72" s="129">
        <v>1</v>
      </c>
    </row>
    <row r="73" spans="1:16" x14ac:dyDescent="0.2">
      <c r="C73" s="3" t="s">
        <v>32</v>
      </c>
      <c r="D73" s="105">
        <v>1.66</v>
      </c>
      <c r="E73" s="105">
        <v>1</v>
      </c>
      <c r="F73" s="105">
        <v>1</v>
      </c>
      <c r="G73" s="105">
        <v>1</v>
      </c>
      <c r="H73" s="129">
        <v>1</v>
      </c>
      <c r="I73" s="129">
        <v>1</v>
      </c>
      <c r="J73" s="129">
        <v>1</v>
      </c>
      <c r="K73" s="129">
        <v>1</v>
      </c>
      <c r="L73" s="129">
        <v>1</v>
      </c>
      <c r="M73" s="129">
        <v>1</v>
      </c>
      <c r="N73" s="129">
        <v>1</v>
      </c>
      <c r="O73" s="129">
        <v>1</v>
      </c>
      <c r="P73" s="129">
        <v>1</v>
      </c>
    </row>
    <row r="74" spans="1:16" x14ac:dyDescent="0.2">
      <c r="C74" s="3" t="s">
        <v>33</v>
      </c>
      <c r="D74" s="105">
        <v>2.5</v>
      </c>
      <c r="E74" s="105">
        <v>1</v>
      </c>
      <c r="F74" s="105">
        <v>1</v>
      </c>
      <c r="G74" s="105">
        <v>1</v>
      </c>
      <c r="H74" s="129">
        <v>1</v>
      </c>
      <c r="I74" s="129">
        <v>1</v>
      </c>
      <c r="J74" s="129">
        <v>1</v>
      </c>
      <c r="K74" s="129">
        <v>1</v>
      </c>
      <c r="L74" s="129">
        <v>1</v>
      </c>
      <c r="M74" s="129">
        <v>1</v>
      </c>
      <c r="N74" s="129">
        <v>1</v>
      </c>
      <c r="O74" s="129">
        <v>1</v>
      </c>
      <c r="P74" s="129">
        <v>1</v>
      </c>
    </row>
    <row r="75" spans="1:16" x14ac:dyDescent="0.2">
      <c r="C75" s="3" t="s">
        <v>34</v>
      </c>
      <c r="D75" s="105">
        <v>14.97</v>
      </c>
      <c r="E75" s="105">
        <v>1</v>
      </c>
      <c r="F75" s="105">
        <v>1</v>
      </c>
      <c r="G75" s="105">
        <v>1</v>
      </c>
      <c r="H75" s="129">
        <v>1</v>
      </c>
      <c r="I75" s="129">
        <v>1</v>
      </c>
      <c r="J75" s="129">
        <v>1</v>
      </c>
      <c r="K75" s="129">
        <v>1</v>
      </c>
      <c r="L75" s="129">
        <v>1</v>
      </c>
      <c r="M75" s="129">
        <v>1</v>
      </c>
      <c r="N75" s="129">
        <v>1</v>
      </c>
      <c r="O75" s="129">
        <v>1</v>
      </c>
      <c r="P75" s="129">
        <v>1</v>
      </c>
    </row>
    <row r="76" spans="1:16" x14ac:dyDescent="0.2">
      <c r="B76" t="s">
        <v>11</v>
      </c>
      <c r="C76" s="3" t="s">
        <v>31</v>
      </c>
      <c r="D76" s="102">
        <v>1</v>
      </c>
      <c r="E76" s="102">
        <v>1</v>
      </c>
      <c r="F76" s="102">
        <v>1</v>
      </c>
      <c r="G76" s="102">
        <v>1</v>
      </c>
      <c r="H76" s="129">
        <v>1</v>
      </c>
      <c r="I76" s="129">
        <v>1</v>
      </c>
      <c r="J76" s="129">
        <v>1</v>
      </c>
      <c r="K76" s="129">
        <v>1</v>
      </c>
      <c r="L76" s="129">
        <v>1</v>
      </c>
      <c r="M76" s="129">
        <v>1</v>
      </c>
      <c r="N76" s="129">
        <v>1</v>
      </c>
      <c r="O76" s="129">
        <v>1</v>
      </c>
      <c r="P76" s="129">
        <v>1</v>
      </c>
    </row>
    <row r="77" spans="1:16" x14ac:dyDescent="0.2">
      <c r="C77" s="3" t="s">
        <v>32</v>
      </c>
      <c r="D77" s="102">
        <v>1.66</v>
      </c>
      <c r="E77" s="102">
        <v>1</v>
      </c>
      <c r="F77" s="102">
        <v>1</v>
      </c>
      <c r="G77" s="102">
        <v>1</v>
      </c>
      <c r="H77" s="129">
        <v>1</v>
      </c>
      <c r="I77" s="129">
        <v>1</v>
      </c>
      <c r="J77" s="129">
        <v>1</v>
      </c>
      <c r="K77" s="129">
        <v>1</v>
      </c>
      <c r="L77" s="129">
        <v>1</v>
      </c>
      <c r="M77" s="129">
        <v>1</v>
      </c>
      <c r="N77" s="129">
        <v>1</v>
      </c>
      <c r="O77" s="129">
        <v>1</v>
      </c>
      <c r="P77" s="129">
        <v>1</v>
      </c>
    </row>
    <row r="78" spans="1:16" x14ac:dyDescent="0.2">
      <c r="C78" s="3" t="s">
        <v>33</v>
      </c>
      <c r="D78" s="105">
        <v>2.5</v>
      </c>
      <c r="E78" s="105">
        <v>1</v>
      </c>
      <c r="F78" s="105">
        <v>1</v>
      </c>
      <c r="G78" s="105">
        <v>1</v>
      </c>
      <c r="H78" s="129">
        <v>1</v>
      </c>
      <c r="I78" s="129">
        <v>1</v>
      </c>
      <c r="J78" s="129">
        <v>1</v>
      </c>
      <c r="K78" s="129">
        <v>1</v>
      </c>
      <c r="L78" s="129">
        <v>1</v>
      </c>
      <c r="M78" s="129">
        <v>1</v>
      </c>
      <c r="N78" s="129">
        <v>1</v>
      </c>
      <c r="O78" s="129">
        <v>1</v>
      </c>
      <c r="P78" s="129">
        <v>1</v>
      </c>
    </row>
    <row r="79" spans="1:16" x14ac:dyDescent="0.2">
      <c r="C79" s="3" t="s">
        <v>34</v>
      </c>
      <c r="D79" s="105">
        <v>14.97</v>
      </c>
      <c r="E79" s="105">
        <v>1</v>
      </c>
      <c r="F79" s="105">
        <v>1</v>
      </c>
      <c r="G79" s="105">
        <v>1</v>
      </c>
      <c r="H79" s="129">
        <v>1</v>
      </c>
      <c r="I79" s="129">
        <v>1</v>
      </c>
      <c r="J79" s="129">
        <v>1</v>
      </c>
      <c r="K79" s="129">
        <v>1</v>
      </c>
      <c r="L79" s="129">
        <v>1</v>
      </c>
      <c r="M79" s="129">
        <v>1</v>
      </c>
      <c r="N79" s="129">
        <v>1</v>
      </c>
      <c r="O79" s="129">
        <v>1</v>
      </c>
      <c r="P79" s="129">
        <v>1</v>
      </c>
    </row>
    <row r="80" spans="1:16" x14ac:dyDescent="0.2">
      <c r="B80" t="s">
        <v>16</v>
      </c>
      <c r="C80" s="3" t="s">
        <v>31</v>
      </c>
      <c r="D80" s="102">
        <v>1</v>
      </c>
      <c r="E80" s="102">
        <v>1</v>
      </c>
      <c r="F80" s="102">
        <v>1</v>
      </c>
      <c r="G80" s="102">
        <v>1</v>
      </c>
      <c r="H80" s="129">
        <v>1</v>
      </c>
      <c r="I80" s="129">
        <v>1</v>
      </c>
      <c r="J80" s="129">
        <v>1</v>
      </c>
      <c r="K80" s="129">
        <v>1</v>
      </c>
      <c r="L80" s="129">
        <v>1</v>
      </c>
      <c r="M80" s="129">
        <v>1</v>
      </c>
      <c r="N80" s="129">
        <v>1</v>
      </c>
      <c r="O80" s="129">
        <v>1</v>
      </c>
      <c r="P80" s="129">
        <v>1</v>
      </c>
    </row>
    <row r="81" spans="2:16" x14ac:dyDescent="0.2">
      <c r="C81" s="3" t="s">
        <v>32</v>
      </c>
      <c r="D81" s="105">
        <v>1</v>
      </c>
      <c r="E81" s="105">
        <v>1</v>
      </c>
      <c r="F81" s="105">
        <v>1</v>
      </c>
      <c r="G81" s="105">
        <v>1</v>
      </c>
      <c r="H81" s="129">
        <v>1</v>
      </c>
      <c r="I81" s="129">
        <v>1</v>
      </c>
      <c r="J81" s="129">
        <v>1</v>
      </c>
      <c r="K81" s="129">
        <v>1</v>
      </c>
      <c r="L81" s="129">
        <v>1</v>
      </c>
      <c r="M81" s="129">
        <v>1</v>
      </c>
      <c r="N81" s="129">
        <v>1</v>
      </c>
      <c r="O81" s="129">
        <v>1</v>
      </c>
      <c r="P81" s="129">
        <v>1</v>
      </c>
    </row>
    <row r="82" spans="2:16" x14ac:dyDescent="0.2">
      <c r="C82" s="3" t="s">
        <v>33</v>
      </c>
      <c r="D82" s="105">
        <v>1</v>
      </c>
      <c r="E82" s="105">
        <v>1</v>
      </c>
      <c r="F82" s="105">
        <v>1</v>
      </c>
      <c r="G82" s="105">
        <v>1</v>
      </c>
      <c r="H82" s="129">
        <v>1</v>
      </c>
      <c r="I82" s="129">
        <v>1</v>
      </c>
      <c r="J82" s="129">
        <v>1</v>
      </c>
      <c r="K82" s="129">
        <v>1</v>
      </c>
      <c r="L82" s="129">
        <v>1</v>
      </c>
      <c r="M82" s="129">
        <v>1</v>
      </c>
      <c r="N82" s="129">
        <v>1</v>
      </c>
      <c r="O82" s="129">
        <v>1</v>
      </c>
      <c r="P82" s="129">
        <v>1</v>
      </c>
    </row>
    <row r="83" spans="2:16" x14ac:dyDescent="0.2">
      <c r="C83" s="3" t="s">
        <v>34</v>
      </c>
      <c r="D83" s="105">
        <v>1</v>
      </c>
      <c r="E83" s="105">
        <v>1</v>
      </c>
      <c r="F83" s="105">
        <v>1</v>
      </c>
      <c r="G83" s="105">
        <v>1</v>
      </c>
      <c r="H83" s="129">
        <v>1</v>
      </c>
      <c r="I83" s="129">
        <v>1</v>
      </c>
      <c r="J83" s="129">
        <v>1</v>
      </c>
      <c r="K83" s="129">
        <v>1</v>
      </c>
      <c r="L83" s="129">
        <v>1</v>
      </c>
      <c r="M83" s="129">
        <v>1</v>
      </c>
      <c r="N83" s="129">
        <v>1</v>
      </c>
      <c r="O83" s="129">
        <v>1</v>
      </c>
      <c r="P83" s="129">
        <v>1</v>
      </c>
    </row>
    <row r="84" spans="2:16" x14ac:dyDescent="0.2">
      <c r="B84" t="s">
        <v>160</v>
      </c>
      <c r="C84" s="3" t="s">
        <v>31</v>
      </c>
      <c r="D84" s="102">
        <v>1</v>
      </c>
      <c r="E84" s="102">
        <v>1</v>
      </c>
      <c r="F84" s="102">
        <v>1</v>
      </c>
      <c r="G84" s="102">
        <v>1</v>
      </c>
      <c r="H84" s="129">
        <v>1</v>
      </c>
      <c r="I84" s="129">
        <v>1</v>
      </c>
      <c r="J84" s="129">
        <v>1</v>
      </c>
      <c r="K84" s="129">
        <v>1</v>
      </c>
      <c r="L84" s="129">
        <v>1</v>
      </c>
      <c r="M84" s="129">
        <v>1</v>
      </c>
      <c r="N84" s="129">
        <v>1</v>
      </c>
      <c r="O84" s="129">
        <v>1</v>
      </c>
      <c r="P84" s="129">
        <v>1</v>
      </c>
    </row>
    <row r="85" spans="2:16" x14ac:dyDescent="0.2">
      <c r="C85" s="3" t="s">
        <v>32</v>
      </c>
      <c r="D85" s="105">
        <v>1</v>
      </c>
      <c r="E85" s="105">
        <v>2.2799999999999998</v>
      </c>
      <c r="F85" s="105">
        <v>1</v>
      </c>
      <c r="G85" s="105">
        <v>1</v>
      </c>
      <c r="H85" s="131">
        <v>1</v>
      </c>
      <c r="I85" s="129">
        <v>1</v>
      </c>
      <c r="J85" s="129">
        <v>1</v>
      </c>
      <c r="K85" s="129">
        <v>1</v>
      </c>
      <c r="L85" s="129">
        <v>1</v>
      </c>
      <c r="M85" s="129">
        <v>1</v>
      </c>
      <c r="N85" s="129">
        <v>1</v>
      </c>
      <c r="O85" s="129">
        <v>1</v>
      </c>
      <c r="P85" s="129">
        <v>1</v>
      </c>
    </row>
    <row r="86" spans="2:16" x14ac:dyDescent="0.2">
      <c r="C86" s="3" t="s">
        <v>33</v>
      </c>
      <c r="D86" s="105">
        <v>1</v>
      </c>
      <c r="E86" s="105">
        <v>4.62</v>
      </c>
      <c r="F86" s="105">
        <v>1</v>
      </c>
      <c r="G86" s="105">
        <v>1</v>
      </c>
      <c r="H86" s="131">
        <v>1</v>
      </c>
      <c r="I86" s="129">
        <v>1</v>
      </c>
      <c r="J86" s="129">
        <v>1</v>
      </c>
      <c r="K86" s="129">
        <v>1</v>
      </c>
      <c r="L86" s="129">
        <v>1</v>
      </c>
      <c r="M86" s="129">
        <v>1</v>
      </c>
      <c r="N86" s="129">
        <v>1</v>
      </c>
      <c r="O86" s="129">
        <v>1</v>
      </c>
      <c r="P86" s="129">
        <v>1</v>
      </c>
    </row>
    <row r="87" spans="2:16" x14ac:dyDescent="0.2">
      <c r="C87" s="3" t="s">
        <v>34</v>
      </c>
      <c r="D87" s="105">
        <v>1</v>
      </c>
      <c r="E87" s="105">
        <v>10.53</v>
      </c>
      <c r="F87" s="105">
        <v>2.1</v>
      </c>
      <c r="G87" s="105">
        <v>2.1</v>
      </c>
      <c r="H87" s="131">
        <v>1</v>
      </c>
      <c r="I87" s="129">
        <v>1</v>
      </c>
      <c r="J87" s="129">
        <v>1</v>
      </c>
      <c r="K87" s="129">
        <v>1</v>
      </c>
      <c r="L87" s="129">
        <v>1</v>
      </c>
      <c r="M87" s="129">
        <v>1</v>
      </c>
      <c r="N87" s="129">
        <v>1</v>
      </c>
      <c r="O87" s="129">
        <v>1</v>
      </c>
      <c r="P87" s="129">
        <v>1</v>
      </c>
    </row>
    <row r="88" spans="2:16" x14ac:dyDescent="0.2">
      <c r="B88" t="s">
        <v>22</v>
      </c>
      <c r="C88" s="3" t="s">
        <v>31</v>
      </c>
      <c r="D88" s="102">
        <v>1</v>
      </c>
      <c r="E88" s="102">
        <v>1</v>
      </c>
      <c r="F88" s="102">
        <v>1</v>
      </c>
      <c r="G88" s="102">
        <v>1</v>
      </c>
      <c r="H88" s="129">
        <v>1</v>
      </c>
      <c r="I88" s="129">
        <v>1</v>
      </c>
      <c r="J88" s="129">
        <v>1</v>
      </c>
      <c r="K88" s="129">
        <v>1</v>
      </c>
      <c r="L88" s="129">
        <v>1</v>
      </c>
      <c r="M88" s="129">
        <v>1</v>
      </c>
      <c r="N88" s="129">
        <v>1</v>
      </c>
      <c r="O88" s="129">
        <v>1</v>
      </c>
      <c r="P88" s="129">
        <v>1</v>
      </c>
    </row>
    <row r="89" spans="2:16" x14ac:dyDescent="0.2">
      <c r="C89" s="3" t="s">
        <v>32</v>
      </c>
      <c r="D89" s="105">
        <v>1</v>
      </c>
      <c r="E89" s="105">
        <v>1.66</v>
      </c>
      <c r="F89" s="105">
        <v>1</v>
      </c>
      <c r="G89" s="105">
        <v>1</v>
      </c>
      <c r="H89" s="129">
        <v>1</v>
      </c>
      <c r="I89" s="129">
        <v>1</v>
      </c>
      <c r="J89" s="129">
        <v>1</v>
      </c>
      <c r="K89" s="129">
        <v>1</v>
      </c>
      <c r="L89" s="129">
        <v>1</v>
      </c>
      <c r="M89" s="129">
        <v>1</v>
      </c>
      <c r="N89" s="129">
        <v>1</v>
      </c>
      <c r="O89" s="129">
        <v>1</v>
      </c>
      <c r="P89" s="129">
        <v>1</v>
      </c>
    </row>
    <row r="90" spans="2:16" x14ac:dyDescent="0.2">
      <c r="C90" s="3" t="s">
        <v>33</v>
      </c>
      <c r="D90" s="105">
        <v>1</v>
      </c>
      <c r="E90" s="105">
        <v>2.5</v>
      </c>
      <c r="F90" s="105">
        <v>1</v>
      </c>
      <c r="G90" s="105">
        <v>1</v>
      </c>
      <c r="H90" s="129">
        <v>1</v>
      </c>
      <c r="I90" s="129">
        <v>1</v>
      </c>
      <c r="J90" s="129">
        <v>1</v>
      </c>
      <c r="K90" s="129">
        <v>1</v>
      </c>
      <c r="L90" s="129">
        <v>1</v>
      </c>
      <c r="M90" s="129">
        <v>1</v>
      </c>
      <c r="N90" s="129">
        <v>1</v>
      </c>
      <c r="O90" s="129">
        <v>1</v>
      </c>
      <c r="P90" s="129">
        <v>1</v>
      </c>
    </row>
    <row r="91" spans="2:16" x14ac:dyDescent="0.2">
      <c r="C91" s="3" t="s">
        <v>34</v>
      </c>
      <c r="D91" s="105">
        <v>1</v>
      </c>
      <c r="E91" s="105">
        <v>14.97</v>
      </c>
      <c r="F91" s="105">
        <v>1.92</v>
      </c>
      <c r="G91" s="105">
        <v>1.92</v>
      </c>
      <c r="H91" s="129">
        <v>1</v>
      </c>
      <c r="I91" s="129">
        <v>1</v>
      </c>
      <c r="J91" s="129">
        <v>1</v>
      </c>
      <c r="K91" s="129">
        <v>1</v>
      </c>
      <c r="L91" s="129">
        <v>1</v>
      </c>
      <c r="M91" s="129">
        <v>1</v>
      </c>
      <c r="N91" s="129">
        <v>1</v>
      </c>
      <c r="O91" s="129">
        <v>1</v>
      </c>
      <c r="P91" s="129">
        <v>1</v>
      </c>
    </row>
    <row r="92" spans="2:16" x14ac:dyDescent="0.2">
      <c r="B92" t="s">
        <v>23</v>
      </c>
      <c r="C92" s="3" t="s">
        <v>31</v>
      </c>
      <c r="D92" s="102">
        <v>1</v>
      </c>
      <c r="E92" s="102">
        <v>1</v>
      </c>
      <c r="F92" s="102">
        <v>1</v>
      </c>
      <c r="G92" s="102">
        <v>1</v>
      </c>
      <c r="H92" s="129">
        <v>1</v>
      </c>
      <c r="I92" s="129">
        <v>1</v>
      </c>
      <c r="J92" s="129">
        <v>1</v>
      </c>
      <c r="K92" s="129">
        <v>1</v>
      </c>
      <c r="L92" s="129">
        <v>1</v>
      </c>
      <c r="M92" s="129">
        <v>1</v>
      </c>
      <c r="N92" s="129">
        <v>1</v>
      </c>
      <c r="O92" s="129">
        <v>1</v>
      </c>
      <c r="P92" s="129">
        <v>1</v>
      </c>
    </row>
    <row r="93" spans="2:16" x14ac:dyDescent="0.2">
      <c r="C93" s="3" t="s">
        <v>32</v>
      </c>
      <c r="D93" s="105">
        <v>1</v>
      </c>
      <c r="E93" s="105">
        <v>1</v>
      </c>
      <c r="F93" s="105">
        <v>1</v>
      </c>
      <c r="G93" s="105">
        <v>1</v>
      </c>
      <c r="H93" s="129">
        <v>1</v>
      </c>
      <c r="I93" s="129">
        <v>1</v>
      </c>
      <c r="J93" s="129">
        <v>1</v>
      </c>
      <c r="K93" s="129">
        <v>1</v>
      </c>
      <c r="L93" s="129">
        <v>1</v>
      </c>
      <c r="M93" s="129">
        <v>1</v>
      </c>
      <c r="N93" s="129">
        <v>1</v>
      </c>
      <c r="O93" s="129">
        <v>1</v>
      </c>
      <c r="P93" s="129">
        <v>1</v>
      </c>
    </row>
    <row r="94" spans="2:16" x14ac:dyDescent="0.2">
      <c r="C94" s="3" t="s">
        <v>33</v>
      </c>
      <c r="D94" s="105">
        <v>1</v>
      </c>
      <c r="E94" s="105">
        <v>1</v>
      </c>
      <c r="F94" s="105">
        <v>1</v>
      </c>
      <c r="G94" s="105">
        <v>1</v>
      </c>
      <c r="H94" s="129">
        <v>1</v>
      </c>
      <c r="I94" s="129">
        <v>1</v>
      </c>
      <c r="J94" s="129">
        <v>1</v>
      </c>
      <c r="K94" s="129">
        <v>1</v>
      </c>
      <c r="L94" s="129">
        <v>1</v>
      </c>
      <c r="M94" s="129">
        <v>1</v>
      </c>
      <c r="N94" s="129">
        <v>1</v>
      </c>
      <c r="O94" s="129">
        <v>1</v>
      </c>
      <c r="P94" s="129">
        <v>1</v>
      </c>
    </row>
    <row r="95" spans="2:16" x14ac:dyDescent="0.2">
      <c r="C95" s="3" t="s">
        <v>34</v>
      </c>
      <c r="D95" s="105">
        <v>1</v>
      </c>
      <c r="E95" s="105">
        <v>1</v>
      </c>
      <c r="F95" s="105">
        <v>1</v>
      </c>
      <c r="G95" s="105">
        <v>1</v>
      </c>
      <c r="H95" s="129">
        <v>1</v>
      </c>
      <c r="I95" s="129">
        <v>1</v>
      </c>
      <c r="J95" s="129">
        <v>1</v>
      </c>
      <c r="K95" s="129">
        <v>1</v>
      </c>
      <c r="L95" s="129">
        <v>1</v>
      </c>
      <c r="M95" s="129">
        <v>1</v>
      </c>
      <c r="N95" s="129">
        <v>1</v>
      </c>
      <c r="O95" s="129">
        <v>1</v>
      </c>
      <c r="P95" s="129">
        <v>1</v>
      </c>
    </row>
    <row r="97" spans="1:16" s="127" customFormat="1" x14ac:dyDescent="0.2">
      <c r="A97" s="119" t="s">
        <v>264</v>
      </c>
    </row>
    <row r="98" spans="1:16" s="8" customFormat="1" ht="25.5" x14ac:dyDescent="0.2">
      <c r="A98" s="28"/>
      <c r="B98" s="28"/>
      <c r="C98" s="128" t="s">
        <v>262</v>
      </c>
      <c r="D98" s="118" t="s">
        <v>1</v>
      </c>
      <c r="E98" s="118" t="s">
        <v>2</v>
      </c>
      <c r="F98" s="118" t="s">
        <v>3</v>
      </c>
      <c r="G98" s="118" t="s">
        <v>4</v>
      </c>
      <c r="H98" s="130" t="s">
        <v>5</v>
      </c>
      <c r="I98" s="130" t="s">
        <v>82</v>
      </c>
      <c r="J98" s="130" t="s">
        <v>83</v>
      </c>
      <c r="K98" s="130" t="s">
        <v>84</v>
      </c>
      <c r="L98" s="130" t="s">
        <v>85</v>
      </c>
      <c r="M98" s="130" t="s">
        <v>78</v>
      </c>
      <c r="N98" s="130" t="s">
        <v>79</v>
      </c>
      <c r="O98" s="130" t="s">
        <v>80</v>
      </c>
      <c r="P98" s="130" t="s">
        <v>81</v>
      </c>
    </row>
    <row r="99" spans="1:16" x14ac:dyDescent="0.2">
      <c r="A99" s="7"/>
      <c r="B99" s="8"/>
      <c r="C99" s="3" t="s">
        <v>31</v>
      </c>
      <c r="D99" s="102">
        <v>1</v>
      </c>
      <c r="E99" s="102">
        <v>1</v>
      </c>
      <c r="F99" s="102">
        <v>1</v>
      </c>
      <c r="G99" s="102">
        <v>1</v>
      </c>
      <c r="H99" s="129">
        <v>1</v>
      </c>
      <c r="I99" s="129">
        <v>1</v>
      </c>
      <c r="J99" s="129">
        <v>1</v>
      </c>
      <c r="K99" s="129">
        <v>1</v>
      </c>
      <c r="L99" s="129">
        <v>1</v>
      </c>
      <c r="M99" s="129">
        <v>1</v>
      </c>
      <c r="N99" s="129">
        <v>1</v>
      </c>
      <c r="O99" s="129">
        <v>1</v>
      </c>
      <c r="P99" s="129">
        <v>1</v>
      </c>
    </row>
    <row r="100" spans="1:16" x14ac:dyDescent="0.2">
      <c r="C100" s="3" t="s">
        <v>32</v>
      </c>
      <c r="D100" s="105">
        <v>1.26</v>
      </c>
      <c r="E100" s="105">
        <v>1.26</v>
      </c>
      <c r="F100" s="105">
        <v>1</v>
      </c>
      <c r="G100" s="105">
        <v>1</v>
      </c>
      <c r="H100" s="129">
        <v>1</v>
      </c>
      <c r="I100" s="129">
        <v>1</v>
      </c>
      <c r="J100" s="129">
        <v>1</v>
      </c>
      <c r="K100" s="129">
        <v>1</v>
      </c>
      <c r="L100" s="129">
        <v>1</v>
      </c>
      <c r="M100" s="129">
        <v>1</v>
      </c>
      <c r="N100" s="129">
        <v>1</v>
      </c>
      <c r="O100" s="129">
        <v>1</v>
      </c>
      <c r="P100" s="129">
        <v>1</v>
      </c>
    </row>
    <row r="101" spans="1:16" x14ac:dyDescent="0.2">
      <c r="C101" s="3" t="s">
        <v>33</v>
      </c>
      <c r="D101" s="105">
        <v>1.68</v>
      </c>
      <c r="E101" s="105">
        <v>1.68</v>
      </c>
      <c r="F101" s="105">
        <v>1</v>
      </c>
      <c r="G101" s="105">
        <v>1</v>
      </c>
      <c r="H101" s="129">
        <v>1</v>
      </c>
      <c r="I101" s="129">
        <v>1</v>
      </c>
      <c r="J101" s="129">
        <v>1</v>
      </c>
      <c r="K101" s="129">
        <v>1</v>
      </c>
      <c r="L101" s="129">
        <v>1</v>
      </c>
      <c r="M101" s="129">
        <v>1</v>
      </c>
      <c r="N101" s="129">
        <v>1</v>
      </c>
      <c r="O101" s="129">
        <v>1</v>
      </c>
      <c r="P101" s="129">
        <v>1</v>
      </c>
    </row>
    <row r="102" spans="1:16" x14ac:dyDescent="0.2">
      <c r="C102" s="3" t="s">
        <v>34</v>
      </c>
      <c r="D102" s="105">
        <v>2.65</v>
      </c>
      <c r="E102" s="105">
        <v>2.65</v>
      </c>
      <c r="F102" s="105">
        <v>2.0699999999999998</v>
      </c>
      <c r="G102" s="105">
        <v>2.0699999999999998</v>
      </c>
      <c r="H102" s="129">
        <v>1</v>
      </c>
      <c r="I102" s="129">
        <v>1</v>
      </c>
      <c r="J102" s="129">
        <v>1</v>
      </c>
      <c r="K102" s="129">
        <v>1</v>
      </c>
      <c r="L102" s="129">
        <v>1</v>
      </c>
      <c r="M102" s="129">
        <v>1</v>
      </c>
      <c r="N102" s="129">
        <v>1</v>
      </c>
      <c r="O102" s="129">
        <v>1</v>
      </c>
      <c r="P102" s="129">
        <v>1</v>
      </c>
    </row>
    <row r="105" spans="1:16" x14ac:dyDescent="0.2">
      <c r="A105" s="7"/>
    </row>
  </sheetData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G23"/>
  <sheetViews>
    <sheetView zoomScale="70" zoomScaleNormal="70" workbookViewId="0">
      <selection activeCell="K32" sqref="K32"/>
    </sheetView>
  </sheetViews>
  <sheetFormatPr defaultColWidth="11.42578125" defaultRowHeight="12.75" x14ac:dyDescent="0.2"/>
  <cols>
    <col min="1" max="1" width="23.140625" customWidth="1"/>
    <col min="2" max="2" width="37.710937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s="120" customFormat="1" ht="14.25" customHeight="1" x14ac:dyDescent="0.2">
      <c r="A1" s="119" t="s">
        <v>265</v>
      </c>
    </row>
    <row r="2" spans="1:7" ht="14.25" customHeight="1" x14ac:dyDescent="0.2">
      <c r="A2" s="7"/>
      <c r="B2" s="1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</row>
    <row r="3" spans="1:7" ht="14.25" customHeight="1" x14ac:dyDescent="0.2">
      <c r="B3" s="86" t="s">
        <v>267</v>
      </c>
      <c r="C3" s="105" t="s">
        <v>266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"/>
      <c r="B4" s="16" t="s">
        <v>311</v>
      </c>
      <c r="C4" s="105">
        <v>1.04</v>
      </c>
      <c r="D4" s="105">
        <v>1.04</v>
      </c>
      <c r="E4" s="105">
        <v>1.04</v>
      </c>
      <c r="F4" s="105">
        <v>1.04</v>
      </c>
      <c r="G4" s="105">
        <v>1.04</v>
      </c>
    </row>
    <row r="5" spans="1:7" ht="14.25" customHeight="1" x14ac:dyDescent="0.2">
      <c r="A5" s="89" t="s">
        <v>268</v>
      </c>
    </row>
    <row r="6" spans="1:7" ht="14.25" hidden="1" customHeight="1" x14ac:dyDescent="0.2">
      <c r="A6" s="7" t="s">
        <v>140</v>
      </c>
      <c r="B6" s="3" t="s">
        <v>38</v>
      </c>
      <c r="C6" s="3">
        <v>1</v>
      </c>
      <c r="D6" s="3">
        <v>1</v>
      </c>
      <c r="E6" s="3">
        <v>1</v>
      </c>
      <c r="F6" s="3">
        <v>1</v>
      </c>
      <c r="G6" s="3">
        <v>1</v>
      </c>
    </row>
    <row r="7" spans="1:7" ht="14.25" hidden="1" customHeight="1" x14ac:dyDescent="0.2">
      <c r="B7" s="3" t="s">
        <v>39</v>
      </c>
      <c r="C7" s="3">
        <v>1</v>
      </c>
      <c r="D7" s="3">
        <v>1</v>
      </c>
      <c r="E7" s="3">
        <v>1.43</v>
      </c>
      <c r="F7" s="3">
        <v>1.43</v>
      </c>
      <c r="G7" s="3">
        <v>1</v>
      </c>
    </row>
    <row r="8" spans="1:7" ht="14.25" hidden="1" customHeight="1" x14ac:dyDescent="0.2">
      <c r="B8" s="3" t="s">
        <v>77</v>
      </c>
      <c r="C8" s="3">
        <v>1</v>
      </c>
      <c r="D8" s="3">
        <v>1</v>
      </c>
      <c r="E8" s="3">
        <v>1.6</v>
      </c>
      <c r="F8" s="3">
        <v>1.6</v>
      </c>
      <c r="G8" s="3">
        <v>1</v>
      </c>
    </row>
    <row r="9" spans="1:7" ht="14.25" hidden="1" customHeight="1" x14ac:dyDescent="0.2">
      <c r="B9" s="3" t="s">
        <v>76</v>
      </c>
      <c r="C9" s="3">
        <v>1</v>
      </c>
      <c r="D9" s="3">
        <v>1</v>
      </c>
      <c r="E9" s="3">
        <v>1.6</v>
      </c>
      <c r="F9" s="3">
        <v>1.6</v>
      </c>
      <c r="G9" s="3">
        <v>1</v>
      </c>
    </row>
    <row r="10" spans="1:7" ht="14.25" hidden="1" customHeight="1" x14ac:dyDescent="0.2">
      <c r="B10" s="3" t="s">
        <v>40</v>
      </c>
      <c r="C10" s="3">
        <v>1</v>
      </c>
      <c r="D10" s="3">
        <v>1</v>
      </c>
      <c r="E10" s="3">
        <v>2.39</v>
      </c>
      <c r="F10" s="3">
        <v>2.39</v>
      </c>
      <c r="G10" s="3">
        <v>1</v>
      </c>
    </row>
    <row r="11" spans="1:7" ht="14.25" hidden="1" customHeight="1" x14ac:dyDescent="0.2">
      <c r="B11" s="3"/>
      <c r="C11" s="3"/>
      <c r="D11" s="3"/>
      <c r="E11" s="3"/>
      <c r="F11" s="3"/>
      <c r="G11" s="3"/>
    </row>
    <row r="12" spans="1:7" ht="14.25" customHeight="1" x14ac:dyDescent="0.2">
      <c r="B12" s="16" t="s">
        <v>45</v>
      </c>
      <c r="C12" s="105">
        <v>1</v>
      </c>
      <c r="D12" s="105">
        <v>1</v>
      </c>
      <c r="E12" s="105">
        <v>1</v>
      </c>
      <c r="F12" s="105">
        <v>0.9</v>
      </c>
      <c r="G12" s="105">
        <v>0.9</v>
      </c>
    </row>
    <row r="13" spans="1:7" ht="14.25" customHeight="1" x14ac:dyDescent="0.2">
      <c r="B13" s="16" t="s">
        <v>47</v>
      </c>
      <c r="C13" s="105">
        <v>1</v>
      </c>
      <c r="D13" s="105">
        <v>1</v>
      </c>
      <c r="E13" s="105">
        <f>1/(1 + (E7-1)*(1-food_insecure))</f>
        <v>0.78419071518193229</v>
      </c>
      <c r="F13" s="105">
        <f>1/(1 + (F7-1)*(1-food_insecure))</f>
        <v>0.78419071518193229</v>
      </c>
      <c r="G13" s="105">
        <v>1</v>
      </c>
    </row>
    <row r="14" spans="1:7" ht="14.25" customHeight="1" x14ac:dyDescent="0.2">
      <c r="B14" s="16" t="s">
        <v>94</v>
      </c>
      <c r="C14" s="105">
        <v>1</v>
      </c>
      <c r="D14" s="105">
        <v>1</v>
      </c>
      <c r="E14" s="105">
        <f>1 / (E$10/E$9)</f>
        <v>0.66945606694560678</v>
      </c>
      <c r="F14" s="105">
        <f>1 / (F$10/F$9)</f>
        <v>0.66945606694560678</v>
      </c>
      <c r="G14" s="105">
        <v>1</v>
      </c>
    </row>
    <row r="15" spans="1:7" ht="14.25" customHeight="1" x14ac:dyDescent="0.2">
      <c r="B15" s="16" t="s">
        <v>290</v>
      </c>
      <c r="C15" s="105">
        <v>1</v>
      </c>
      <c r="D15" s="105">
        <v>1</v>
      </c>
      <c r="E15" s="105">
        <f t="shared" ref="E15:F16" si="0">1 / (E$10/E$9)</f>
        <v>0.66945606694560678</v>
      </c>
      <c r="F15" s="105">
        <f t="shared" si="0"/>
        <v>0.66945606694560678</v>
      </c>
      <c r="G15" s="105">
        <v>1</v>
      </c>
    </row>
    <row r="16" spans="1:7" ht="14.25" customHeight="1" x14ac:dyDescent="0.2">
      <c r="B16" s="16" t="s">
        <v>291</v>
      </c>
      <c r="C16" s="105">
        <v>1</v>
      </c>
      <c r="D16" s="105">
        <v>1</v>
      </c>
      <c r="E16" s="105">
        <f t="shared" si="0"/>
        <v>0.66945606694560678</v>
      </c>
      <c r="F16" s="105">
        <f t="shared" si="0"/>
        <v>0.66945606694560678</v>
      </c>
      <c r="G16" s="105">
        <v>1</v>
      </c>
    </row>
    <row r="17" spans="1:7" ht="14.25" customHeight="1" x14ac:dyDescent="0.2"/>
    <row r="18" spans="1:7" s="120" customFormat="1" ht="14.25" customHeight="1" x14ac:dyDescent="0.2">
      <c r="A18" s="119" t="s">
        <v>269</v>
      </c>
    </row>
    <row r="19" spans="1:7" ht="14.25" customHeight="1" x14ac:dyDescent="0.2">
      <c r="B19" s="16" t="s">
        <v>270</v>
      </c>
      <c r="C19" s="105">
        <v>5.16</v>
      </c>
      <c r="D19" s="105">
        <v>5.16</v>
      </c>
      <c r="E19" s="105">
        <v>1</v>
      </c>
      <c r="F19" s="105">
        <v>1</v>
      </c>
      <c r="G19" s="105">
        <v>1</v>
      </c>
    </row>
    <row r="20" spans="1:7" ht="14.25" customHeight="1" x14ac:dyDescent="0.2">
      <c r="A20" s="7"/>
      <c r="B20" s="16" t="s">
        <v>271</v>
      </c>
      <c r="C20" s="105">
        <v>1.04</v>
      </c>
      <c r="D20" s="105">
        <v>1.04</v>
      </c>
      <c r="E20" s="105">
        <v>1.04</v>
      </c>
      <c r="F20" s="105">
        <v>1.04</v>
      </c>
      <c r="G20" s="105">
        <v>1.04</v>
      </c>
    </row>
    <row r="21" spans="1:7" ht="14.25" customHeight="1" x14ac:dyDescent="0.2">
      <c r="A21" s="7"/>
      <c r="B21" s="16" t="s">
        <v>272</v>
      </c>
      <c r="C21" s="105">
        <v>1.04</v>
      </c>
      <c r="D21" s="105">
        <v>1.04</v>
      </c>
      <c r="E21" s="105">
        <v>1.04</v>
      </c>
      <c r="F21" s="105">
        <v>1.04</v>
      </c>
      <c r="G21" s="105">
        <v>1.04</v>
      </c>
    </row>
    <row r="22" spans="1:7" ht="14.25" customHeight="1" x14ac:dyDescent="0.2">
      <c r="A22" s="7"/>
      <c r="B22" s="16" t="s">
        <v>273</v>
      </c>
      <c r="C22" s="105">
        <v>1</v>
      </c>
      <c r="D22" s="105">
        <v>1</v>
      </c>
      <c r="E22" s="105">
        <v>1</v>
      </c>
      <c r="F22" s="105">
        <v>1</v>
      </c>
      <c r="G22" s="105">
        <v>1</v>
      </c>
    </row>
    <row r="23" spans="1:7" ht="14.25" customHeight="1" x14ac:dyDescent="0.2"/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F6"/>
  <sheetViews>
    <sheetView workbookViewId="0">
      <selection activeCell="B5" sqref="B5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160</v>
      </c>
      <c r="B2" s="12">
        <v>2.4300000000000002</v>
      </c>
      <c r="C2" s="12">
        <v>2.4300000000000002</v>
      </c>
      <c r="D2" s="12">
        <v>3.71</v>
      </c>
      <c r="E2" s="12">
        <v>3</v>
      </c>
      <c r="F2" s="12">
        <v>1.92</v>
      </c>
    </row>
    <row r="3" spans="1:6" ht="15.75" customHeight="1" x14ac:dyDescent="0.2">
      <c r="A3" t="s">
        <v>162</v>
      </c>
      <c r="B3" s="18">
        <v>5.1999999999999998E-2</v>
      </c>
      <c r="C3" s="18">
        <v>5.1999999999999998E-2</v>
      </c>
      <c r="D3" s="18">
        <v>5.1999999999999998E-2</v>
      </c>
      <c r="E3" s="18">
        <v>5.1999999999999998E-2</v>
      </c>
      <c r="F3" s="18">
        <v>5.1999999999999998E-2</v>
      </c>
    </row>
    <row r="4" spans="1:6" ht="15.75" customHeight="1" x14ac:dyDescent="0.2">
      <c r="A4" s="3" t="s">
        <v>22</v>
      </c>
      <c r="B4" s="10">
        <v>3.5999999999999997E-2</v>
      </c>
      <c r="C4" s="10">
        <v>3.5999999999999997E-2</v>
      </c>
      <c r="D4" s="10">
        <v>3.5999999999999997E-2</v>
      </c>
      <c r="E4" s="10">
        <v>3.5999999999999997E-2</v>
      </c>
      <c r="F4" s="10">
        <v>3.5999999999999997E-2</v>
      </c>
    </row>
    <row r="5" spans="1:6" ht="15.75" customHeight="1" x14ac:dyDescent="0.2">
      <c r="A5" s="3" t="s">
        <v>112</v>
      </c>
      <c r="B5" s="106">
        <f>'Nutritional status distribution'!C10 * 2.6</f>
        <v>0.39</v>
      </c>
      <c r="C5" s="106">
        <f>'Nutritional status distribution'!D10 * 2.6</f>
        <v>0.39</v>
      </c>
      <c r="D5" s="106">
        <f>'Nutritional status distribution'!E10 * 2.6</f>
        <v>0.33540000000000003</v>
      </c>
      <c r="E5" s="106">
        <f>'Nutritional status distribution'!F10 * 2.6</f>
        <v>0.28600000000000003</v>
      </c>
      <c r="F5" s="106">
        <f>'Nutritional status distribution'!G10 * 2.6</f>
        <v>0.27300000000000002</v>
      </c>
    </row>
    <row r="6" spans="1:6" ht="15.75" customHeight="1" x14ac:dyDescent="0.2">
      <c r="A6" s="3" t="s">
        <v>113</v>
      </c>
      <c r="B6" s="106">
        <f>'Nutritional status distribution'!C11 * 2.6</f>
        <v>0.12740000000000001</v>
      </c>
      <c r="C6" s="106">
        <f>'Nutritional status distribution'!D11 * 2.6</f>
        <v>0.12740000000000001</v>
      </c>
      <c r="D6" s="106">
        <f>'Nutritional status distribution'!E11 * 2.6</f>
        <v>0.13780000000000001</v>
      </c>
      <c r="E6" s="106">
        <f>'Nutritional status distribution'!F11 * 2.6</f>
        <v>0.10659999999999999</v>
      </c>
      <c r="F6" s="106">
        <f>'Nutritional status distribution'!G11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O7"/>
  <sheetViews>
    <sheetView workbookViewId="0">
      <selection activeCell="B5" sqref="B5"/>
    </sheetView>
  </sheetViews>
  <sheetFormatPr defaultColWidth="11.42578125" defaultRowHeight="12.75" x14ac:dyDescent="0.2"/>
  <cols>
    <col min="1" max="1" width="36.28515625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7" t="s">
        <v>150</v>
      </c>
      <c r="B1" s="7" t="s">
        <v>7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82</v>
      </c>
      <c r="I1" s="7" t="s">
        <v>83</v>
      </c>
      <c r="J1" s="7" t="s">
        <v>84</v>
      </c>
      <c r="K1" s="7" t="s">
        <v>85</v>
      </c>
      <c r="L1" s="7" t="s">
        <v>78</v>
      </c>
      <c r="M1" s="7" t="s">
        <v>79</v>
      </c>
      <c r="N1" s="7" t="s">
        <v>80</v>
      </c>
      <c r="O1" s="7" t="s">
        <v>81</v>
      </c>
    </row>
    <row r="2" spans="1:15" x14ac:dyDescent="0.2">
      <c r="A2" s="7" t="s">
        <v>155</v>
      </c>
      <c r="B2" t="s">
        <v>157</v>
      </c>
      <c r="C2" s="59">
        <f t="shared" ref="C2:O2" si="0">1-C3</f>
        <v>0.95</v>
      </c>
      <c r="D2" s="59">
        <f t="shared" si="0"/>
        <v>0.95</v>
      </c>
      <c r="E2" s="59">
        <f t="shared" si="0"/>
        <v>0.68920000000000003</v>
      </c>
      <c r="F2" s="59">
        <f t="shared" si="0"/>
        <v>0.76900000000000002</v>
      </c>
      <c r="G2" s="59">
        <f t="shared" si="0"/>
        <v>0.82065999999999995</v>
      </c>
      <c r="H2" s="59">
        <f t="shared" si="0"/>
        <v>0.76419999999999999</v>
      </c>
      <c r="I2" s="59">
        <f t="shared" si="0"/>
        <v>0.76419999999999999</v>
      </c>
      <c r="J2" s="59">
        <f t="shared" si="0"/>
        <v>0.76419999999999999</v>
      </c>
      <c r="K2" s="59">
        <f t="shared" si="0"/>
        <v>0.76419999999999999</v>
      </c>
      <c r="L2" s="59">
        <f t="shared" si="0"/>
        <v>0.7762</v>
      </c>
      <c r="M2" s="59">
        <f t="shared" si="0"/>
        <v>0.7762</v>
      </c>
      <c r="N2" s="59">
        <f t="shared" si="0"/>
        <v>0.7762</v>
      </c>
      <c r="O2" s="59">
        <f t="shared" si="0"/>
        <v>0.7762</v>
      </c>
    </row>
    <row r="3" spans="1:15" x14ac:dyDescent="0.2">
      <c r="B3" t="s">
        <v>158</v>
      </c>
      <c r="C3" s="59">
        <f>C6</f>
        <v>0.05</v>
      </c>
      <c r="D3" s="59">
        <f t="shared" ref="D3:N3" si="1">D6</f>
        <v>0.05</v>
      </c>
      <c r="E3" s="59">
        <f t="shared" si="1"/>
        <v>0.31079999999999997</v>
      </c>
      <c r="F3" s="59">
        <f t="shared" si="1"/>
        <v>0.23100000000000001</v>
      </c>
      <c r="G3" s="59">
        <f t="shared" si="1"/>
        <v>0.17934</v>
      </c>
      <c r="H3" s="59">
        <f t="shared" si="1"/>
        <v>0.23580000000000001</v>
      </c>
      <c r="I3" s="59">
        <f t="shared" si="1"/>
        <v>0.23580000000000001</v>
      </c>
      <c r="J3" s="59">
        <f t="shared" si="1"/>
        <v>0.23580000000000001</v>
      </c>
      <c r="K3" s="59">
        <f t="shared" si="1"/>
        <v>0.23580000000000001</v>
      </c>
      <c r="L3" s="59">
        <f t="shared" si="1"/>
        <v>0.2238</v>
      </c>
      <c r="M3" s="59">
        <f t="shared" si="1"/>
        <v>0.2238</v>
      </c>
      <c r="N3" s="59">
        <f t="shared" si="1"/>
        <v>0.2238</v>
      </c>
      <c r="O3" s="59">
        <f>O6</f>
        <v>0.2238</v>
      </c>
    </row>
    <row r="4" spans="1:15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">
      <c r="A5" s="7" t="s">
        <v>151</v>
      </c>
      <c r="B5" t="s">
        <v>158</v>
      </c>
      <c r="C5" s="21">
        <v>0.1</v>
      </c>
      <c r="D5" s="21">
        <v>0.1</v>
      </c>
      <c r="E5" s="55">
        <v>0.74</v>
      </c>
      <c r="F5" s="55">
        <v>0.55000000000000004</v>
      </c>
      <c r="G5" s="55">
        <v>0.42699999999999999</v>
      </c>
      <c r="H5" s="56">
        <v>0.48149999999999998</v>
      </c>
      <c r="I5" s="56">
        <v>0.48149999999999998</v>
      </c>
      <c r="J5" s="56">
        <v>0.48149999999999998</v>
      </c>
      <c r="K5" s="56">
        <v>0.48149999999999998</v>
      </c>
      <c r="L5" s="56">
        <v>0.43469999999999998</v>
      </c>
      <c r="M5" s="56">
        <v>0.43469999999999998</v>
      </c>
      <c r="N5" s="56">
        <v>0.43469999999999998</v>
      </c>
      <c r="O5" s="56">
        <v>0.43469999999999998</v>
      </c>
    </row>
    <row r="6" spans="1:15" x14ac:dyDescent="0.2">
      <c r="A6" s="7" t="s">
        <v>152</v>
      </c>
      <c r="B6" t="s">
        <v>158</v>
      </c>
      <c r="C6" s="21">
        <v>0.05</v>
      </c>
      <c r="D6" s="21">
        <v>0.05</v>
      </c>
      <c r="E6" s="55">
        <v>0.31079999999999997</v>
      </c>
      <c r="F6" s="55">
        <v>0.23100000000000001</v>
      </c>
      <c r="G6" s="55">
        <v>0.17934</v>
      </c>
      <c r="H6" s="56">
        <v>0.23580000000000001</v>
      </c>
      <c r="I6" s="56">
        <v>0.23580000000000001</v>
      </c>
      <c r="J6" s="56">
        <v>0.23580000000000001</v>
      </c>
      <c r="K6" s="56">
        <v>0.23580000000000001</v>
      </c>
      <c r="L6" s="56">
        <v>0.2238</v>
      </c>
      <c r="M6" s="56">
        <v>0.2238</v>
      </c>
      <c r="N6" s="56">
        <v>0.2238</v>
      </c>
      <c r="O6" s="56">
        <v>0.2238</v>
      </c>
    </row>
    <row r="7" spans="1:15" x14ac:dyDescent="0.2">
      <c r="A7" s="7" t="s">
        <v>153</v>
      </c>
      <c r="B7" t="s">
        <v>158</v>
      </c>
      <c r="C7" s="55">
        <v>0.01</v>
      </c>
      <c r="D7" s="55">
        <v>0.01</v>
      </c>
      <c r="E7" s="55">
        <v>0.01</v>
      </c>
      <c r="F7" s="55">
        <v>0.01</v>
      </c>
      <c r="G7" s="55">
        <v>0.01</v>
      </c>
      <c r="H7" s="55">
        <v>6.0000000000000001E-3</v>
      </c>
      <c r="I7" s="55">
        <v>6.0000000000000001E-3</v>
      </c>
      <c r="J7" s="55">
        <v>6.0000000000000001E-3</v>
      </c>
      <c r="K7" s="55">
        <v>6.0000000000000001E-3</v>
      </c>
      <c r="L7" s="55">
        <v>0</v>
      </c>
      <c r="M7" s="55">
        <v>0</v>
      </c>
      <c r="N7" s="55">
        <v>0</v>
      </c>
      <c r="O7" s="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zoomScale="85" zoomScaleNormal="85" workbookViewId="0">
      <selection activeCell="B2" sqref="B2:B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7" t="s">
        <v>119</v>
      </c>
      <c r="B1" s="7" t="s">
        <v>122</v>
      </c>
      <c r="C1" s="7" t="s">
        <v>118</v>
      </c>
      <c r="D1" s="7" t="s">
        <v>1</v>
      </c>
      <c r="E1" s="7" t="s">
        <v>2</v>
      </c>
      <c r="F1" s="7" t="s">
        <v>3</v>
      </c>
      <c r="G1" s="7" t="s">
        <v>4</v>
      </c>
      <c r="H1" s="28" t="s">
        <v>5</v>
      </c>
    </row>
    <row r="2" spans="1:10" x14ac:dyDescent="0.2">
      <c r="A2" s="7" t="s">
        <v>120</v>
      </c>
      <c r="B2" s="148" t="s">
        <v>53</v>
      </c>
      <c r="C2" t="s">
        <v>116</v>
      </c>
      <c r="D2" s="27">
        <v>1.85</v>
      </c>
      <c r="E2" s="27">
        <v>1.2</v>
      </c>
      <c r="F2" s="27">
        <v>1.05</v>
      </c>
      <c r="G2" s="27">
        <v>1.01</v>
      </c>
      <c r="H2" s="29">
        <v>1</v>
      </c>
    </row>
    <row r="3" spans="1:10" x14ac:dyDescent="0.2">
      <c r="B3" s="148"/>
      <c r="C3" t="s">
        <v>117</v>
      </c>
      <c r="D3" s="27">
        <v>1.9</v>
      </c>
      <c r="E3" s="27">
        <v>1.25</v>
      </c>
      <c r="F3" s="27">
        <v>1.05</v>
      </c>
      <c r="G3" s="27">
        <v>1.01</v>
      </c>
      <c r="H3" s="29">
        <v>1</v>
      </c>
      <c r="J3" s="27"/>
    </row>
    <row r="4" spans="1:10" x14ac:dyDescent="0.2">
      <c r="B4" s="148"/>
      <c r="C4" t="s">
        <v>127</v>
      </c>
      <c r="D4" s="27">
        <f>D17^(1/2)</f>
        <v>1.0246950765959599</v>
      </c>
      <c r="E4" s="27">
        <f>E17^(1/3)</f>
        <v>1.0163963568148535</v>
      </c>
      <c r="F4" s="27">
        <f>F17^(1/4)</f>
        <v>1.0122722344290394</v>
      </c>
      <c r="G4" s="27">
        <f t="shared" ref="G4:H4" si="0">G17^(1/5)</f>
        <v>1.0098057976734853</v>
      </c>
      <c r="H4" s="27">
        <f t="shared" si="0"/>
        <v>1</v>
      </c>
      <c r="J4" s="27"/>
    </row>
    <row r="5" spans="1:10" x14ac:dyDescent="0.2">
      <c r="B5" s="148" t="s">
        <v>1</v>
      </c>
      <c r="C5" t="s">
        <v>116</v>
      </c>
      <c r="D5" s="27">
        <v>2.0299999999999998</v>
      </c>
      <c r="E5" s="27">
        <v>1</v>
      </c>
      <c r="F5" s="27">
        <v>1</v>
      </c>
      <c r="G5" s="27">
        <v>1</v>
      </c>
      <c r="H5" s="29">
        <v>1</v>
      </c>
    </row>
    <row r="6" spans="1:10" x14ac:dyDescent="0.2">
      <c r="B6" s="148"/>
      <c r="C6" t="s">
        <v>117</v>
      </c>
      <c r="D6" s="27">
        <v>2.17</v>
      </c>
      <c r="E6" s="27">
        <v>1</v>
      </c>
      <c r="F6" s="27">
        <v>1</v>
      </c>
      <c r="G6" s="27">
        <v>1</v>
      </c>
      <c r="H6" s="29">
        <v>1</v>
      </c>
    </row>
    <row r="7" spans="1:10" x14ac:dyDescent="0.2">
      <c r="B7" s="148"/>
      <c r="C7" t="s">
        <v>127</v>
      </c>
      <c r="D7" s="27">
        <f>D17^(1/2)</f>
        <v>1.0246950765959599</v>
      </c>
      <c r="E7" s="27">
        <f>E17^(1/3)</f>
        <v>1.0163963568148535</v>
      </c>
      <c r="F7" s="27">
        <f>F17^(1/4)</f>
        <v>1.0122722344290394</v>
      </c>
      <c r="G7" s="27">
        <f t="shared" ref="G7:H7" si="1">G17^(1/5)</f>
        <v>1.0098057976734853</v>
      </c>
      <c r="H7" s="27">
        <f t="shared" si="1"/>
        <v>1</v>
      </c>
    </row>
    <row r="8" spans="1:10" x14ac:dyDescent="0.2">
      <c r="B8" s="148" t="s">
        <v>2</v>
      </c>
      <c r="C8" t="s">
        <v>116</v>
      </c>
      <c r="D8" s="27">
        <v>1</v>
      </c>
      <c r="E8" s="27">
        <v>1.5</v>
      </c>
      <c r="F8" s="27">
        <v>1</v>
      </c>
      <c r="G8" s="27">
        <v>1</v>
      </c>
      <c r="H8" s="29">
        <v>1</v>
      </c>
    </row>
    <row r="9" spans="1:10" x14ac:dyDescent="0.2">
      <c r="B9" s="148"/>
      <c r="C9" t="s">
        <v>117</v>
      </c>
      <c r="D9" s="27">
        <v>1</v>
      </c>
      <c r="E9" s="27">
        <v>1.5</v>
      </c>
      <c r="F9" s="27">
        <v>1</v>
      </c>
      <c r="G9" s="27">
        <v>1</v>
      </c>
      <c r="H9" s="29">
        <v>1</v>
      </c>
    </row>
    <row r="10" spans="1:10" x14ac:dyDescent="0.2">
      <c r="B10" s="148"/>
      <c r="C10" t="s">
        <v>127</v>
      </c>
      <c r="D10" s="27">
        <v>1</v>
      </c>
      <c r="E10" s="27">
        <f>E17^(1/3)</f>
        <v>1.0163963568148535</v>
      </c>
      <c r="F10" s="27">
        <f>F17^(1/4)</f>
        <v>1.0122722344290394</v>
      </c>
      <c r="G10" s="27">
        <f t="shared" ref="G10:H10" si="2">G17^(1/5)</f>
        <v>1.0098057976734853</v>
      </c>
      <c r="H10" s="27">
        <f t="shared" si="2"/>
        <v>1</v>
      </c>
    </row>
    <row r="11" spans="1:10" x14ac:dyDescent="0.2">
      <c r="B11" s="148" t="s">
        <v>3</v>
      </c>
      <c r="C11" t="s">
        <v>116</v>
      </c>
      <c r="D11" s="27">
        <v>1</v>
      </c>
      <c r="E11" s="27">
        <v>1</v>
      </c>
      <c r="F11" s="27">
        <v>1.1499999999999999</v>
      </c>
      <c r="G11" s="27">
        <v>1</v>
      </c>
      <c r="H11" s="29">
        <v>1</v>
      </c>
    </row>
    <row r="12" spans="1:10" x14ac:dyDescent="0.2">
      <c r="B12" s="148"/>
      <c r="C12" t="s">
        <v>117</v>
      </c>
      <c r="D12" s="27">
        <v>1</v>
      </c>
      <c r="E12" s="27">
        <v>1</v>
      </c>
      <c r="F12" s="27">
        <v>1.1499999999999999</v>
      </c>
      <c r="G12" s="27">
        <v>1</v>
      </c>
      <c r="H12" s="29">
        <v>1</v>
      </c>
    </row>
    <row r="13" spans="1:10" x14ac:dyDescent="0.2">
      <c r="B13" s="148"/>
      <c r="C13" t="s">
        <v>127</v>
      </c>
      <c r="D13" s="27">
        <v>1</v>
      </c>
      <c r="E13" s="27">
        <v>1</v>
      </c>
      <c r="F13" s="27">
        <f>F17^(1/4)</f>
        <v>1.0122722344290394</v>
      </c>
      <c r="G13" s="27">
        <f t="shared" ref="G13:H13" si="3">G17^(1/5)</f>
        <v>1.0098057976734853</v>
      </c>
      <c r="H13" s="27">
        <f t="shared" si="3"/>
        <v>1</v>
      </c>
    </row>
    <row r="14" spans="1:10" x14ac:dyDescent="0.2">
      <c r="B14" s="148" t="s">
        <v>4</v>
      </c>
      <c r="C14" t="s">
        <v>116</v>
      </c>
      <c r="D14" s="27">
        <v>1</v>
      </c>
      <c r="E14" s="27">
        <v>1</v>
      </c>
      <c r="F14" s="27">
        <v>1</v>
      </c>
      <c r="G14" s="27">
        <v>1.1499999999999999</v>
      </c>
      <c r="H14" s="29">
        <v>1</v>
      </c>
    </row>
    <row r="15" spans="1:10" x14ac:dyDescent="0.2">
      <c r="B15" s="148"/>
      <c r="C15" t="s">
        <v>117</v>
      </c>
      <c r="D15" s="27">
        <v>1</v>
      </c>
      <c r="E15" s="27">
        <v>1</v>
      </c>
      <c r="F15" s="27">
        <v>1</v>
      </c>
      <c r="G15" s="27">
        <v>1.1000000000000001</v>
      </c>
      <c r="H15" s="29">
        <v>1</v>
      </c>
    </row>
    <row r="16" spans="1:10" x14ac:dyDescent="0.2">
      <c r="B16" s="148"/>
      <c r="C16" t="s">
        <v>127</v>
      </c>
      <c r="D16" s="27">
        <v>1</v>
      </c>
      <c r="E16" s="27">
        <v>1</v>
      </c>
      <c r="F16" s="27">
        <v>1</v>
      </c>
      <c r="G16" s="27">
        <f t="shared" ref="G16:H16" si="4">G17^(1/5)</f>
        <v>1.0098057976734853</v>
      </c>
      <c r="H16" s="27">
        <f t="shared" si="4"/>
        <v>1</v>
      </c>
    </row>
    <row r="17" spans="1:8" x14ac:dyDescent="0.2">
      <c r="B17" s="37" t="s">
        <v>73</v>
      </c>
      <c r="C17" t="s">
        <v>127</v>
      </c>
      <c r="D17" s="33">
        <v>1.05</v>
      </c>
      <c r="E17" s="33">
        <v>1.05</v>
      </c>
      <c r="F17" s="33">
        <v>1.05</v>
      </c>
      <c r="G17" s="33">
        <v>1.05</v>
      </c>
      <c r="H17" s="33">
        <v>1</v>
      </c>
    </row>
    <row r="18" spans="1:8" x14ac:dyDescent="0.2">
      <c r="D18" s="29"/>
      <c r="E18" s="29"/>
      <c r="F18" s="29"/>
      <c r="G18" s="29"/>
      <c r="H18" s="29"/>
    </row>
    <row r="19" spans="1:8" x14ac:dyDescent="0.2">
      <c r="A19" s="31" t="s">
        <v>121</v>
      </c>
      <c r="B19" s="148" t="s">
        <v>53</v>
      </c>
      <c r="C19" t="s">
        <v>116</v>
      </c>
      <c r="D19" s="27">
        <v>1</v>
      </c>
      <c r="E19" s="27">
        <v>1</v>
      </c>
      <c r="F19" s="27">
        <v>1.05</v>
      </c>
      <c r="G19" s="27">
        <v>1.05</v>
      </c>
      <c r="H19" s="27">
        <v>1</v>
      </c>
    </row>
    <row r="20" spans="1:8" x14ac:dyDescent="0.2">
      <c r="B20" s="148"/>
      <c r="C20" t="s">
        <v>117</v>
      </c>
      <c r="D20" s="27">
        <v>1</v>
      </c>
      <c r="E20" s="27">
        <v>1</v>
      </c>
      <c r="F20" s="27">
        <v>1.05</v>
      </c>
      <c r="G20" s="27">
        <v>1.05</v>
      </c>
      <c r="H20" s="27">
        <v>1</v>
      </c>
    </row>
    <row r="21" spans="1:8" x14ac:dyDescent="0.2">
      <c r="B21" s="148"/>
      <c r="C21" t="s">
        <v>127</v>
      </c>
      <c r="D21" s="27">
        <f>D34^(1/5)</f>
        <v>1.0098057976734853</v>
      </c>
      <c r="E21" s="27">
        <f t="shared" ref="E21:H21" si="5">E34^(1/5)</f>
        <v>1.0098057976734853</v>
      </c>
      <c r="F21" s="27">
        <f t="shared" si="5"/>
        <v>1.0098057976734853</v>
      </c>
      <c r="G21" s="27">
        <f t="shared" si="5"/>
        <v>1.0098057976734853</v>
      </c>
      <c r="H21" s="27">
        <f t="shared" si="5"/>
        <v>1</v>
      </c>
    </row>
    <row r="22" spans="1:8" x14ac:dyDescent="0.2">
      <c r="B22" s="148" t="s">
        <v>1</v>
      </c>
      <c r="C22" t="s">
        <v>116</v>
      </c>
      <c r="D22" s="27">
        <v>1</v>
      </c>
      <c r="E22" s="27">
        <v>1</v>
      </c>
      <c r="F22" s="27">
        <v>1.05</v>
      </c>
      <c r="G22" s="27">
        <v>1.05</v>
      </c>
      <c r="H22" s="27">
        <v>1</v>
      </c>
    </row>
    <row r="23" spans="1:8" x14ac:dyDescent="0.2">
      <c r="B23" s="148"/>
      <c r="C23" t="s">
        <v>117</v>
      </c>
      <c r="D23" s="27">
        <v>1</v>
      </c>
      <c r="E23" s="27">
        <v>1</v>
      </c>
      <c r="F23" s="27">
        <v>1.05</v>
      </c>
      <c r="G23" s="27">
        <v>1.05</v>
      </c>
      <c r="H23" s="27">
        <v>1</v>
      </c>
    </row>
    <row r="24" spans="1:8" x14ac:dyDescent="0.2">
      <c r="B24" s="148"/>
      <c r="C24" t="s">
        <v>127</v>
      </c>
      <c r="D24" s="27">
        <f>D34^(1/5)</f>
        <v>1.0098057976734853</v>
      </c>
      <c r="E24" s="27">
        <f t="shared" ref="E24:H24" si="6">E34^(1/5)</f>
        <v>1.0098057976734853</v>
      </c>
      <c r="F24" s="27">
        <f t="shared" si="6"/>
        <v>1.0098057976734853</v>
      </c>
      <c r="G24" s="27">
        <f t="shared" si="6"/>
        <v>1.0098057976734853</v>
      </c>
      <c r="H24" s="27">
        <f t="shared" si="6"/>
        <v>1</v>
      </c>
    </row>
    <row r="25" spans="1:8" x14ac:dyDescent="0.2">
      <c r="B25" s="148" t="s">
        <v>2</v>
      </c>
      <c r="C25" t="s">
        <v>116</v>
      </c>
      <c r="D25" s="27">
        <v>1</v>
      </c>
      <c r="E25" s="27">
        <v>1</v>
      </c>
      <c r="F25" s="27">
        <v>2.5</v>
      </c>
      <c r="G25" s="27">
        <v>2.5</v>
      </c>
      <c r="H25" s="27">
        <v>1</v>
      </c>
    </row>
    <row r="26" spans="1:8" x14ac:dyDescent="0.2">
      <c r="B26" s="148"/>
      <c r="C26" t="s">
        <v>117</v>
      </c>
      <c r="D26" s="27">
        <v>1</v>
      </c>
      <c r="E26" s="27">
        <v>1</v>
      </c>
      <c r="F26" s="27">
        <v>2.4</v>
      </c>
      <c r="G26" s="27">
        <v>2.4</v>
      </c>
      <c r="H26" s="27">
        <v>1</v>
      </c>
    </row>
    <row r="27" spans="1:8" x14ac:dyDescent="0.2">
      <c r="B27" s="148"/>
      <c r="C27" t="s">
        <v>127</v>
      </c>
      <c r="D27" s="27">
        <f>D34^(1/5)</f>
        <v>1.0098057976734853</v>
      </c>
      <c r="E27" s="27">
        <f t="shared" ref="E27:H27" si="7">E34^(1/5)</f>
        <v>1.0098057976734853</v>
      </c>
      <c r="F27" s="27">
        <f t="shared" si="7"/>
        <v>1.0098057976734853</v>
      </c>
      <c r="G27" s="27">
        <f t="shared" si="7"/>
        <v>1.0098057976734853</v>
      </c>
      <c r="H27" s="27">
        <f t="shared" si="7"/>
        <v>1</v>
      </c>
    </row>
    <row r="28" spans="1:8" x14ac:dyDescent="0.2">
      <c r="B28" s="148" t="s">
        <v>3</v>
      </c>
      <c r="C28" t="s">
        <v>116</v>
      </c>
      <c r="D28" s="27">
        <v>1</v>
      </c>
      <c r="E28" s="27">
        <v>1</v>
      </c>
      <c r="F28" s="27">
        <v>2</v>
      </c>
      <c r="G28" s="27">
        <v>2</v>
      </c>
      <c r="H28" s="27">
        <v>1</v>
      </c>
    </row>
    <row r="29" spans="1:8" x14ac:dyDescent="0.2">
      <c r="B29" s="148"/>
      <c r="C29" t="s">
        <v>117</v>
      </c>
      <c r="D29" s="27">
        <v>1</v>
      </c>
      <c r="E29" s="27">
        <v>1</v>
      </c>
      <c r="F29" s="27">
        <v>1.9</v>
      </c>
      <c r="G29" s="27">
        <v>1.9</v>
      </c>
      <c r="H29" s="27">
        <v>1</v>
      </c>
    </row>
    <row r="30" spans="1:8" x14ac:dyDescent="0.2">
      <c r="B30" s="148"/>
      <c r="C30" t="s">
        <v>127</v>
      </c>
      <c r="D30" s="27">
        <f>D34^(1/5)</f>
        <v>1.0098057976734853</v>
      </c>
      <c r="E30" s="27">
        <f t="shared" ref="E30:H30" si="8">E34^(1/5)</f>
        <v>1.0098057976734853</v>
      </c>
      <c r="F30" s="27">
        <f t="shared" si="8"/>
        <v>1.0098057976734853</v>
      </c>
      <c r="G30" s="27">
        <f t="shared" si="8"/>
        <v>1.0098057976734853</v>
      </c>
      <c r="H30" s="27">
        <f t="shared" si="8"/>
        <v>1</v>
      </c>
    </row>
    <row r="31" spans="1:8" x14ac:dyDescent="0.2">
      <c r="B31" s="148" t="s">
        <v>4</v>
      </c>
      <c r="C31" t="s">
        <v>116</v>
      </c>
      <c r="D31" s="27">
        <v>1</v>
      </c>
      <c r="E31" s="27">
        <v>1</v>
      </c>
      <c r="F31" s="27">
        <v>1</v>
      </c>
      <c r="G31" s="27">
        <v>2</v>
      </c>
      <c r="H31" s="27">
        <v>1</v>
      </c>
    </row>
    <row r="32" spans="1:8" x14ac:dyDescent="0.2">
      <c r="B32" s="148"/>
      <c r="C32" t="s">
        <v>117</v>
      </c>
      <c r="D32" s="27">
        <v>1</v>
      </c>
      <c r="E32" s="27">
        <v>1</v>
      </c>
      <c r="F32" s="27">
        <v>1</v>
      </c>
      <c r="G32" s="27">
        <v>1.9</v>
      </c>
      <c r="H32" s="27">
        <v>1</v>
      </c>
    </row>
    <row r="33" spans="1:8" x14ac:dyDescent="0.2">
      <c r="B33" s="148"/>
      <c r="C33" t="s">
        <v>127</v>
      </c>
      <c r="D33" s="27">
        <f>D34^(1/5)</f>
        <v>1.0098057976734853</v>
      </c>
      <c r="E33" s="27">
        <f t="shared" ref="E33:H33" si="9">E34^(1/5)</f>
        <v>1.0098057976734853</v>
      </c>
      <c r="F33" s="27">
        <f t="shared" si="9"/>
        <v>1.0098057976734853</v>
      </c>
      <c r="G33" s="27">
        <f t="shared" si="9"/>
        <v>1.0098057976734853</v>
      </c>
      <c r="H33" s="27">
        <f t="shared" si="9"/>
        <v>1</v>
      </c>
    </row>
    <row r="34" spans="1:8" x14ac:dyDescent="0.2">
      <c r="B34" s="32" t="s">
        <v>73</v>
      </c>
      <c r="C34" t="s">
        <v>127</v>
      </c>
      <c r="D34" s="33">
        <v>1.05</v>
      </c>
      <c r="E34" s="33">
        <v>1.05</v>
      </c>
      <c r="F34" s="33">
        <v>1.05</v>
      </c>
      <c r="G34" s="33">
        <v>1.05</v>
      </c>
      <c r="H34" s="33">
        <v>1</v>
      </c>
    </row>
    <row r="36" spans="1:8" x14ac:dyDescent="0.2">
      <c r="A36" s="7" t="s">
        <v>147</v>
      </c>
      <c r="B36" s="148" t="s">
        <v>53</v>
      </c>
      <c r="C36" t="s">
        <v>116</v>
      </c>
      <c r="D36" s="27">
        <v>1</v>
      </c>
      <c r="E36" s="27">
        <v>1</v>
      </c>
      <c r="F36" s="27">
        <v>0.98</v>
      </c>
      <c r="G36" s="27">
        <v>0.98</v>
      </c>
      <c r="H36" s="27">
        <v>1</v>
      </c>
    </row>
    <row r="37" spans="1:8" x14ac:dyDescent="0.2">
      <c r="B37" s="148"/>
      <c r="C37" t="s">
        <v>117</v>
      </c>
      <c r="D37" s="27">
        <v>1</v>
      </c>
      <c r="E37" s="27">
        <v>1</v>
      </c>
      <c r="F37" s="27">
        <v>0.98</v>
      </c>
      <c r="G37" s="27">
        <v>0.98</v>
      </c>
      <c r="H37" s="27">
        <v>1</v>
      </c>
    </row>
    <row r="38" spans="1:8" x14ac:dyDescent="0.2">
      <c r="B38" s="148"/>
      <c r="C38" t="s">
        <v>127</v>
      </c>
      <c r="D38" s="27">
        <v>1</v>
      </c>
      <c r="E38" s="27">
        <v>1</v>
      </c>
      <c r="F38" s="27">
        <v>0.99</v>
      </c>
      <c r="G38" s="27">
        <v>0.99</v>
      </c>
      <c r="H38" s="27">
        <v>1</v>
      </c>
    </row>
    <row r="39" spans="1:8" x14ac:dyDescent="0.2">
      <c r="B39" s="148" t="s">
        <v>1</v>
      </c>
      <c r="C39" t="s">
        <v>116</v>
      </c>
      <c r="D39" s="27">
        <v>1</v>
      </c>
      <c r="E39" s="27">
        <v>1</v>
      </c>
      <c r="F39" s="27">
        <v>1</v>
      </c>
      <c r="G39" s="27">
        <v>1</v>
      </c>
      <c r="H39" s="27">
        <v>1</v>
      </c>
    </row>
    <row r="40" spans="1:8" x14ac:dyDescent="0.2">
      <c r="B40" s="148"/>
      <c r="C40" t="s">
        <v>117</v>
      </c>
      <c r="D40" s="27">
        <v>1</v>
      </c>
      <c r="E40" s="27">
        <v>1</v>
      </c>
      <c r="F40" s="27">
        <v>1</v>
      </c>
      <c r="G40" s="27">
        <v>1</v>
      </c>
      <c r="H40" s="27">
        <v>1</v>
      </c>
    </row>
    <row r="41" spans="1:8" x14ac:dyDescent="0.2">
      <c r="B41" s="148"/>
      <c r="C41" t="s">
        <v>127</v>
      </c>
      <c r="D41" s="27">
        <v>1</v>
      </c>
      <c r="E41" s="27">
        <v>1</v>
      </c>
      <c r="F41" s="27">
        <v>0.99</v>
      </c>
      <c r="G41" s="27">
        <v>0.99</v>
      </c>
      <c r="H41" s="27">
        <v>1</v>
      </c>
    </row>
    <row r="42" spans="1:8" x14ac:dyDescent="0.2">
      <c r="B42" s="148" t="s">
        <v>2</v>
      </c>
      <c r="C42" t="s">
        <v>116</v>
      </c>
      <c r="D42" s="27">
        <v>1</v>
      </c>
      <c r="E42" s="27">
        <v>1</v>
      </c>
      <c r="F42" s="27">
        <v>1</v>
      </c>
      <c r="G42" s="27">
        <v>1</v>
      </c>
      <c r="H42" s="27">
        <v>1</v>
      </c>
    </row>
    <row r="43" spans="1:8" x14ac:dyDescent="0.2">
      <c r="B43" s="148"/>
      <c r="C43" t="s">
        <v>117</v>
      </c>
      <c r="D43" s="27">
        <v>1</v>
      </c>
      <c r="E43" s="27">
        <v>1</v>
      </c>
      <c r="F43" s="27">
        <v>1</v>
      </c>
      <c r="G43" s="27">
        <v>1</v>
      </c>
      <c r="H43" s="27">
        <v>1</v>
      </c>
    </row>
    <row r="44" spans="1:8" x14ac:dyDescent="0.2">
      <c r="B44" s="148"/>
      <c r="C44" t="s">
        <v>127</v>
      </c>
      <c r="D44" s="27">
        <v>1</v>
      </c>
      <c r="E44" s="27">
        <v>1</v>
      </c>
      <c r="F44" s="27">
        <v>0.99</v>
      </c>
      <c r="G44" s="27">
        <v>0.99</v>
      </c>
      <c r="H44" s="27">
        <v>1</v>
      </c>
    </row>
    <row r="45" spans="1:8" x14ac:dyDescent="0.2">
      <c r="B45" s="148" t="s">
        <v>3</v>
      </c>
      <c r="C45" t="s">
        <v>116</v>
      </c>
      <c r="D45" s="27">
        <v>1</v>
      </c>
      <c r="E45" s="27">
        <v>1</v>
      </c>
      <c r="F45" s="27">
        <v>0.78</v>
      </c>
      <c r="G45" s="27">
        <v>1</v>
      </c>
      <c r="H45" s="27">
        <v>1</v>
      </c>
    </row>
    <row r="46" spans="1:8" x14ac:dyDescent="0.2">
      <c r="B46" s="148"/>
      <c r="C46" t="s">
        <v>117</v>
      </c>
      <c r="D46" s="27">
        <v>1</v>
      </c>
      <c r="E46" s="27">
        <v>1</v>
      </c>
      <c r="F46" s="27">
        <v>0.78</v>
      </c>
      <c r="G46" s="27">
        <v>1</v>
      </c>
      <c r="H46" s="27">
        <v>1</v>
      </c>
    </row>
    <row r="47" spans="1:8" x14ac:dyDescent="0.2">
      <c r="B47" s="148"/>
      <c r="C47" t="s">
        <v>127</v>
      </c>
      <c r="D47" s="27">
        <v>1</v>
      </c>
      <c r="E47" s="27">
        <v>1</v>
      </c>
      <c r="F47" s="27">
        <v>0.99</v>
      </c>
      <c r="G47" s="27">
        <v>0.99</v>
      </c>
      <c r="H47" s="27">
        <v>1</v>
      </c>
    </row>
    <row r="48" spans="1:8" x14ac:dyDescent="0.2">
      <c r="B48" s="148" t="s">
        <v>4</v>
      </c>
      <c r="C48" t="s">
        <v>116</v>
      </c>
      <c r="D48" s="27">
        <v>1</v>
      </c>
      <c r="E48" s="27">
        <v>1</v>
      </c>
      <c r="F48" s="27">
        <v>1</v>
      </c>
      <c r="G48" s="27">
        <v>0.78</v>
      </c>
      <c r="H48" s="27">
        <v>1</v>
      </c>
    </row>
    <row r="49" spans="2:8" x14ac:dyDescent="0.2">
      <c r="B49" s="148"/>
      <c r="C49" t="s">
        <v>117</v>
      </c>
      <c r="D49" s="27">
        <v>1</v>
      </c>
      <c r="E49" s="27">
        <v>1</v>
      </c>
      <c r="F49" s="27">
        <v>1</v>
      </c>
      <c r="G49" s="27">
        <v>0.78</v>
      </c>
      <c r="H49" s="27">
        <v>1</v>
      </c>
    </row>
    <row r="50" spans="2:8" x14ac:dyDescent="0.2">
      <c r="B50" s="148"/>
      <c r="C50" t="s">
        <v>127</v>
      </c>
      <c r="D50" s="27">
        <v>1</v>
      </c>
      <c r="E50" s="27">
        <v>1</v>
      </c>
      <c r="F50" s="27">
        <v>1</v>
      </c>
      <c r="G50" s="27">
        <v>0.99</v>
      </c>
      <c r="H50" s="27">
        <v>1</v>
      </c>
    </row>
    <row r="51" spans="2:8" x14ac:dyDescent="0.2">
      <c r="B51" s="38" t="s">
        <v>73</v>
      </c>
      <c r="C51" t="s">
        <v>127</v>
      </c>
      <c r="D51" s="44">
        <v>1</v>
      </c>
      <c r="E51" s="44">
        <v>1</v>
      </c>
      <c r="F51" s="44">
        <v>0.95</v>
      </c>
      <c r="G51" s="44">
        <v>0.95</v>
      </c>
      <c r="H51" s="44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I35" sqref="I35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7" t="s">
        <v>141</v>
      </c>
      <c r="B1" s="7" t="s">
        <v>122</v>
      </c>
      <c r="C1" s="7" t="s">
        <v>116</v>
      </c>
      <c r="D1" s="7" t="s">
        <v>117</v>
      </c>
      <c r="E1" s="7" t="s">
        <v>127</v>
      </c>
    </row>
    <row r="2" spans="1:5" x14ac:dyDescent="0.2">
      <c r="A2" s="7" t="s">
        <v>142</v>
      </c>
      <c r="B2" t="s">
        <v>53</v>
      </c>
      <c r="C2">
        <f>'Baseline year population inputs'!C6</f>
        <v>0.5</v>
      </c>
      <c r="D2">
        <v>1</v>
      </c>
      <c r="E2">
        <v>1</v>
      </c>
    </row>
    <row r="3" spans="1:5" x14ac:dyDescent="0.2">
      <c r="B3" t="s">
        <v>1</v>
      </c>
      <c r="C3">
        <f>'Baseline year population inputs'!C7</f>
        <v>0.3</v>
      </c>
      <c r="D3">
        <v>1</v>
      </c>
      <c r="E3">
        <v>1</v>
      </c>
    </row>
    <row r="4" spans="1:5" x14ac:dyDescent="0.2">
      <c r="B4" t="s">
        <v>2</v>
      </c>
      <c r="C4">
        <f>'Baseline year population inputs'!C7</f>
        <v>0.3</v>
      </c>
      <c r="D4">
        <v>1</v>
      </c>
      <c r="E4">
        <v>1</v>
      </c>
    </row>
    <row r="5" spans="1:5" x14ac:dyDescent="0.2">
      <c r="B5" t="s">
        <v>3</v>
      </c>
      <c r="C5">
        <f>'Baseline year population inputs'!C7</f>
        <v>0.3</v>
      </c>
      <c r="D5">
        <v>1</v>
      </c>
      <c r="E5">
        <v>1</v>
      </c>
    </row>
    <row r="6" spans="1:5" x14ac:dyDescent="0.2">
      <c r="B6" t="s">
        <v>4</v>
      </c>
      <c r="C6">
        <f>'Baseline year population inputs'!C7</f>
        <v>0.3</v>
      </c>
      <c r="D6">
        <v>1</v>
      </c>
      <c r="E6">
        <v>1</v>
      </c>
    </row>
    <row r="8" spans="1:5" x14ac:dyDescent="0.2">
      <c r="A8" s="7" t="s">
        <v>143</v>
      </c>
      <c r="B8" t="s">
        <v>53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2">
      <c r="B9" t="s">
        <v>1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2">
      <c r="B10" t="s">
        <v>2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2">
      <c r="B11" t="s">
        <v>3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2">
      <c r="B12" t="s">
        <v>4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6"/>
  <sheetViews>
    <sheetView workbookViewId="0">
      <selection activeCell="B2" sqref="B2"/>
    </sheetView>
  </sheetViews>
  <sheetFormatPr defaultColWidth="14.42578125" defaultRowHeight="15.75" customHeight="1" x14ac:dyDescent="0.2"/>
  <cols>
    <col min="2" max="6" width="13.42578125" customWidth="1"/>
  </cols>
  <sheetData>
    <row r="1" spans="1:6" ht="15.75" customHeight="1" x14ac:dyDescent="0.2">
      <c r="A1" s="7" t="s">
        <v>148</v>
      </c>
      <c r="B1" s="7" t="s">
        <v>149</v>
      </c>
    </row>
    <row r="2" spans="1:6" ht="15.75" customHeight="1" x14ac:dyDescent="0.25">
      <c r="A2" t="s">
        <v>1</v>
      </c>
      <c r="B2" s="4" t="s">
        <v>31</v>
      </c>
    </row>
    <row r="3" spans="1:6" ht="15" x14ac:dyDescent="0.25">
      <c r="A3" t="s">
        <v>2</v>
      </c>
      <c r="B3" s="4" t="s">
        <v>31</v>
      </c>
    </row>
    <row r="4" spans="1:6" ht="15.75" customHeight="1" x14ac:dyDescent="0.25">
      <c r="A4" t="s">
        <v>3</v>
      </c>
      <c r="B4" s="4" t="s">
        <v>33</v>
      </c>
      <c r="C4" s="3"/>
      <c r="D4" s="3"/>
      <c r="E4" s="3"/>
      <c r="F4" s="3"/>
    </row>
    <row r="5" spans="1:6" ht="15.75" customHeight="1" x14ac:dyDescent="0.25">
      <c r="A5" t="s">
        <v>4</v>
      </c>
      <c r="B5" s="4" t="s">
        <v>33</v>
      </c>
      <c r="C5" s="3"/>
      <c r="D5" s="3"/>
      <c r="E5" s="3"/>
      <c r="F5" s="3"/>
    </row>
    <row r="6" spans="1:6" ht="15.75" customHeight="1" x14ac:dyDescent="0.2">
      <c r="A6" t="s">
        <v>5</v>
      </c>
      <c r="B6" s="5" t="s">
        <v>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5"/>
  <sheetViews>
    <sheetView workbookViewId="0">
      <selection activeCell="K30" sqref="K30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154</v>
      </c>
      <c r="B1" s="7"/>
      <c r="C1" s="7" t="s">
        <v>12</v>
      </c>
      <c r="D1" s="7" t="s">
        <v>15</v>
      </c>
      <c r="E1" s="7" t="s">
        <v>14</v>
      </c>
      <c r="F1" s="1" t="s">
        <v>36</v>
      </c>
    </row>
    <row r="2" spans="1:6" ht="15.75" customHeight="1" x14ac:dyDescent="0.2">
      <c r="A2" t="s">
        <v>48</v>
      </c>
      <c r="B2" t="s">
        <v>43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B3" t="s">
        <v>44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t="s">
        <v>102</v>
      </c>
      <c r="B4" t="s">
        <v>43</v>
      </c>
      <c r="C4" s="105">
        <v>0.23</v>
      </c>
      <c r="D4" s="105">
        <v>0.23</v>
      </c>
      <c r="E4" s="105">
        <v>0</v>
      </c>
      <c r="F4" s="105">
        <v>0</v>
      </c>
    </row>
    <row r="5" spans="1:6" ht="15.75" customHeight="1" x14ac:dyDescent="0.2">
      <c r="B5" t="s">
        <v>44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t="s">
        <v>103</v>
      </c>
      <c r="B6" t="s">
        <v>43</v>
      </c>
      <c r="C6" s="105">
        <v>0.23</v>
      </c>
      <c r="D6" s="105">
        <v>0.23</v>
      </c>
      <c r="E6" s="105">
        <v>0</v>
      </c>
      <c r="F6" s="105">
        <v>0</v>
      </c>
    </row>
    <row r="7" spans="1:6" ht="15.75" customHeight="1" x14ac:dyDescent="0.2">
      <c r="B7" t="s">
        <v>44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t="s">
        <v>55</v>
      </c>
      <c r="B8" t="s">
        <v>43</v>
      </c>
      <c r="C8" s="105">
        <v>0.15</v>
      </c>
      <c r="D8" s="105">
        <v>0.15</v>
      </c>
      <c r="E8" s="105">
        <v>0</v>
      </c>
      <c r="F8" s="105">
        <v>0</v>
      </c>
    </row>
    <row r="9" spans="1:6" ht="15.75" customHeight="1" x14ac:dyDescent="0.2">
      <c r="B9" t="s">
        <v>44</v>
      </c>
      <c r="C9" s="105">
        <v>1</v>
      </c>
      <c r="D9" s="105">
        <v>1</v>
      </c>
      <c r="E9" s="105">
        <v>1</v>
      </c>
      <c r="F9" s="105">
        <v>1</v>
      </c>
    </row>
    <row r="10" spans="1:6" ht="15.75" customHeight="1" x14ac:dyDescent="0.2">
      <c r="A10" t="s">
        <v>104</v>
      </c>
      <c r="B10" t="s">
        <v>43</v>
      </c>
      <c r="C10" s="105">
        <v>0.15</v>
      </c>
      <c r="D10" s="105">
        <v>0.15</v>
      </c>
      <c r="E10" s="105">
        <v>0</v>
      </c>
      <c r="F10" s="105">
        <v>0</v>
      </c>
    </row>
    <row r="11" spans="1:6" ht="15.75" customHeight="1" x14ac:dyDescent="0.2">
      <c r="B11" t="s">
        <v>44</v>
      </c>
      <c r="C11" s="105">
        <v>1</v>
      </c>
      <c r="D11" s="105">
        <v>1</v>
      </c>
      <c r="E11" s="105">
        <v>1</v>
      </c>
      <c r="F11" s="105">
        <v>1</v>
      </c>
    </row>
    <row r="12" spans="1:6" ht="15.75" customHeight="1" x14ac:dyDescent="0.2">
      <c r="A12" t="s">
        <v>86</v>
      </c>
      <c r="B12" t="s">
        <v>43</v>
      </c>
      <c r="C12" s="105">
        <v>0.35</v>
      </c>
      <c r="D12" s="105">
        <v>0.35</v>
      </c>
      <c r="E12" s="105">
        <v>0</v>
      </c>
      <c r="F12" s="105">
        <v>0</v>
      </c>
    </row>
    <row r="13" spans="1:6" ht="15.75" customHeight="1" x14ac:dyDescent="0.2">
      <c r="B13" t="s">
        <v>44</v>
      </c>
      <c r="C13" s="105">
        <v>1</v>
      </c>
      <c r="D13" s="105">
        <v>1</v>
      </c>
      <c r="E13" s="105">
        <v>0</v>
      </c>
      <c r="F13" s="105">
        <v>0</v>
      </c>
    </row>
    <row r="14" spans="1:6" ht="15.75" customHeight="1" x14ac:dyDescent="0.2">
      <c r="A14" s="3" t="s">
        <v>56</v>
      </c>
      <c r="B14" t="s">
        <v>43</v>
      </c>
      <c r="C14" s="105">
        <v>0.35</v>
      </c>
      <c r="D14" s="105">
        <v>0.35</v>
      </c>
      <c r="E14" s="105">
        <v>0</v>
      </c>
      <c r="F14" s="105">
        <v>0</v>
      </c>
    </row>
    <row r="15" spans="1:6" ht="15.75" customHeight="1" x14ac:dyDescent="0.2">
      <c r="B15" t="s">
        <v>44</v>
      </c>
      <c r="C15" s="105">
        <v>1</v>
      </c>
      <c r="D15" s="105">
        <v>1</v>
      </c>
      <c r="E15" s="105">
        <v>0</v>
      </c>
      <c r="F15" s="105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43"/>
  <sheetViews>
    <sheetView workbookViewId="0">
      <selection activeCell="E44" sqref="E44"/>
    </sheetView>
  </sheetViews>
  <sheetFormatPr defaultColWidth="11.42578125" defaultRowHeight="12.75" x14ac:dyDescent="0.2"/>
  <cols>
    <col min="1" max="1" width="20.28515625" customWidth="1"/>
    <col min="2" max="2" width="53" bestFit="1" customWidth="1"/>
    <col min="3" max="15" width="13.5703125" customWidth="1"/>
  </cols>
  <sheetData>
    <row r="1" spans="1:15" ht="35.25" customHeight="1" x14ac:dyDescent="0.2">
      <c r="A1" s="7"/>
      <c r="B1" s="7"/>
      <c r="C1" s="118" t="s">
        <v>1</v>
      </c>
      <c r="D1" s="118" t="s">
        <v>2</v>
      </c>
      <c r="E1" s="118" t="s">
        <v>3</v>
      </c>
      <c r="F1" s="118" t="s">
        <v>4</v>
      </c>
      <c r="G1" s="118" t="s">
        <v>5</v>
      </c>
      <c r="H1" s="118" t="s">
        <v>78</v>
      </c>
      <c r="I1" s="118" t="s">
        <v>79</v>
      </c>
      <c r="J1" s="118" t="s">
        <v>80</v>
      </c>
      <c r="K1" s="118" t="s">
        <v>81</v>
      </c>
      <c r="L1" s="118" t="s">
        <v>82</v>
      </c>
      <c r="M1" s="118" t="s">
        <v>83</v>
      </c>
      <c r="N1" s="118" t="s">
        <v>84</v>
      </c>
      <c r="O1" s="118" t="s">
        <v>85</v>
      </c>
    </row>
    <row r="2" spans="1:15" x14ac:dyDescent="0.2">
      <c r="A2" s="7" t="s">
        <v>295</v>
      </c>
    </row>
    <row r="3" spans="1:15" x14ac:dyDescent="0.2">
      <c r="B3" s="64" t="s">
        <v>55</v>
      </c>
      <c r="C3" s="105">
        <v>1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0.3</v>
      </c>
      <c r="M3" s="105">
        <v>0.3</v>
      </c>
      <c r="N3" s="105">
        <v>0.3</v>
      </c>
      <c r="O3" s="105">
        <v>0.3</v>
      </c>
    </row>
    <row r="4" spans="1:15" x14ac:dyDescent="0.2">
      <c r="B4" s="64" t="s">
        <v>104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I4" s="105">
        <v>1</v>
      </c>
      <c r="J4" s="105">
        <v>1</v>
      </c>
      <c r="K4" s="105">
        <v>1</v>
      </c>
      <c r="L4" s="105">
        <v>0.3</v>
      </c>
      <c r="M4" s="105">
        <v>0.3</v>
      </c>
      <c r="N4" s="105">
        <v>0.3</v>
      </c>
      <c r="O4" s="105">
        <v>0.3</v>
      </c>
    </row>
    <row r="5" spans="1:15" x14ac:dyDescent="0.2">
      <c r="B5" s="146" t="s">
        <v>102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1</v>
      </c>
      <c r="I5" s="105">
        <v>1</v>
      </c>
      <c r="J5" s="105">
        <v>1</v>
      </c>
      <c r="K5" s="105">
        <v>1</v>
      </c>
      <c r="L5" s="105">
        <v>0.3</v>
      </c>
      <c r="M5" s="105">
        <v>0.3</v>
      </c>
      <c r="N5" s="105">
        <v>0.3</v>
      </c>
      <c r="O5" s="105">
        <v>0.3</v>
      </c>
    </row>
    <row r="6" spans="1:15" x14ac:dyDescent="0.2">
      <c r="B6" s="146" t="s">
        <v>103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1</v>
      </c>
      <c r="I6" s="105">
        <v>1</v>
      </c>
      <c r="J6" s="105">
        <v>1</v>
      </c>
      <c r="K6" s="105">
        <v>1</v>
      </c>
      <c r="L6" s="105">
        <v>0.3</v>
      </c>
      <c r="M6" s="105">
        <v>0.3</v>
      </c>
      <c r="N6" s="105">
        <v>0.3</v>
      </c>
      <c r="O6" s="105">
        <v>0.3</v>
      </c>
    </row>
    <row r="7" spans="1:15" x14ac:dyDescent="0.2">
      <c r="B7" s="146" t="s">
        <v>86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  <c r="I7" s="105">
        <v>1</v>
      </c>
      <c r="J7" s="105">
        <v>1</v>
      </c>
      <c r="K7" s="105">
        <v>1</v>
      </c>
      <c r="L7" s="105">
        <v>0.83</v>
      </c>
      <c r="M7" s="105">
        <v>0.83</v>
      </c>
      <c r="N7" s="105">
        <v>0.83</v>
      </c>
      <c r="O7" s="105">
        <v>0.83</v>
      </c>
    </row>
    <row r="8" spans="1:15" x14ac:dyDescent="0.2">
      <c r="B8" s="146" t="s">
        <v>87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0.73</v>
      </c>
      <c r="I8" s="105">
        <v>0.73</v>
      </c>
      <c r="J8" s="105">
        <v>0.73</v>
      </c>
      <c r="K8" s="105">
        <v>0.73</v>
      </c>
      <c r="L8" s="105">
        <v>1</v>
      </c>
      <c r="M8" s="105">
        <v>1</v>
      </c>
      <c r="N8" s="105">
        <v>1</v>
      </c>
      <c r="O8" s="105">
        <v>1</v>
      </c>
    </row>
    <row r="9" spans="1:15" x14ac:dyDescent="0.2">
      <c r="B9" s="146" t="s">
        <v>88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0.73</v>
      </c>
      <c r="I9" s="105">
        <v>0.73</v>
      </c>
      <c r="J9" s="105">
        <v>0.73</v>
      </c>
      <c r="K9" s="105">
        <v>0.73</v>
      </c>
      <c r="L9" s="105">
        <v>1</v>
      </c>
      <c r="M9" s="105">
        <v>1</v>
      </c>
      <c r="N9" s="105">
        <v>1</v>
      </c>
      <c r="O9" s="105">
        <v>1</v>
      </c>
    </row>
    <row r="10" spans="1:15" x14ac:dyDescent="0.2">
      <c r="B10" s="146" t="s">
        <v>89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0.73</v>
      </c>
      <c r="I10" s="105">
        <v>0.73</v>
      </c>
      <c r="J10" s="105">
        <v>0.73</v>
      </c>
      <c r="K10" s="105">
        <v>0.73</v>
      </c>
      <c r="L10" s="105">
        <v>1</v>
      </c>
      <c r="M10" s="105">
        <v>1</v>
      </c>
      <c r="N10" s="105">
        <v>1</v>
      </c>
      <c r="O10" s="105">
        <v>1</v>
      </c>
    </row>
    <row r="11" spans="1:15" x14ac:dyDescent="0.2">
      <c r="B11" s="146" t="s">
        <v>90</v>
      </c>
      <c r="C11" s="105">
        <v>1</v>
      </c>
      <c r="D11" s="105">
        <v>1</v>
      </c>
      <c r="E11" s="105">
        <v>1</v>
      </c>
      <c r="F11" s="105">
        <v>1</v>
      </c>
      <c r="G11" s="105">
        <v>1</v>
      </c>
      <c r="H11" s="105">
        <v>0.73</v>
      </c>
      <c r="I11" s="105">
        <v>0.73</v>
      </c>
      <c r="J11" s="105">
        <v>0.73</v>
      </c>
      <c r="K11" s="105">
        <v>0.73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146" t="s">
        <v>91</v>
      </c>
      <c r="C12" s="105">
        <v>1</v>
      </c>
      <c r="D12" s="105">
        <v>1</v>
      </c>
      <c r="E12" s="105">
        <v>1</v>
      </c>
      <c r="F12" s="105">
        <v>1</v>
      </c>
      <c r="G12" s="105">
        <v>1</v>
      </c>
      <c r="H12" s="105">
        <v>0.73</v>
      </c>
      <c r="I12" s="105">
        <v>0.73</v>
      </c>
      <c r="J12" s="105">
        <v>0.73</v>
      </c>
      <c r="K12" s="105">
        <v>0.73</v>
      </c>
      <c r="L12" s="105">
        <v>1</v>
      </c>
      <c r="M12" s="105">
        <v>1</v>
      </c>
      <c r="N12" s="105">
        <v>1</v>
      </c>
      <c r="O12" s="105">
        <v>1</v>
      </c>
    </row>
    <row r="13" spans="1:15" x14ac:dyDescent="0.2">
      <c r="B13" s="146" t="s">
        <v>92</v>
      </c>
      <c r="C13" s="105">
        <v>1</v>
      </c>
      <c r="D13" s="105">
        <v>1</v>
      </c>
      <c r="E13" s="105">
        <v>1</v>
      </c>
      <c r="F13" s="105">
        <v>1</v>
      </c>
      <c r="G13" s="105">
        <v>1</v>
      </c>
      <c r="H13" s="105">
        <v>0.73</v>
      </c>
      <c r="I13" s="105">
        <v>0.73</v>
      </c>
      <c r="J13" s="105">
        <v>0.73</v>
      </c>
      <c r="K13" s="105">
        <v>0.73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146" t="s">
        <v>93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0.73</v>
      </c>
      <c r="I14" s="105">
        <v>0.73</v>
      </c>
      <c r="J14" s="105">
        <v>0.73</v>
      </c>
      <c r="K14" s="105">
        <v>0.73</v>
      </c>
      <c r="L14" s="105">
        <v>1</v>
      </c>
      <c r="M14" s="105">
        <v>1</v>
      </c>
      <c r="N14" s="105">
        <v>1</v>
      </c>
      <c r="O14" s="105">
        <v>1</v>
      </c>
    </row>
    <row r="15" spans="1:15" x14ac:dyDescent="0.2">
      <c r="B15" s="146" t="s">
        <v>95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0.73</v>
      </c>
      <c r="I15" s="105">
        <v>0.73</v>
      </c>
      <c r="J15" s="105">
        <v>0.73</v>
      </c>
      <c r="K15" s="105">
        <v>0.73</v>
      </c>
      <c r="L15" s="105">
        <v>1</v>
      </c>
      <c r="M15" s="105">
        <v>1</v>
      </c>
      <c r="N15" s="105">
        <v>1</v>
      </c>
      <c r="O15" s="105">
        <v>1</v>
      </c>
    </row>
    <row r="16" spans="1:15" x14ac:dyDescent="0.2">
      <c r="B16" s="146" t="s">
        <v>96</v>
      </c>
      <c r="C16" s="105">
        <v>1</v>
      </c>
      <c r="D16" s="105">
        <v>1</v>
      </c>
      <c r="E16" s="105">
        <v>1</v>
      </c>
      <c r="F16" s="105">
        <v>1</v>
      </c>
      <c r="G16" s="105">
        <v>1</v>
      </c>
      <c r="H16" s="105">
        <v>0.73</v>
      </c>
      <c r="I16" s="105">
        <v>0.73</v>
      </c>
      <c r="J16" s="105">
        <v>0.73</v>
      </c>
      <c r="K16" s="105">
        <v>0.73</v>
      </c>
      <c r="L16" s="105">
        <v>1</v>
      </c>
      <c r="M16" s="105">
        <v>1</v>
      </c>
      <c r="N16" s="105">
        <v>1</v>
      </c>
      <c r="O16" s="105">
        <v>1</v>
      </c>
    </row>
    <row r="17" spans="1:15" x14ac:dyDescent="0.2">
      <c r="B17" s="146" t="s">
        <v>97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  <c r="H17" s="105">
        <v>0.73</v>
      </c>
      <c r="I17" s="105">
        <v>0.73</v>
      </c>
      <c r="J17" s="105">
        <v>0.73</v>
      </c>
      <c r="K17" s="105">
        <v>0.73</v>
      </c>
      <c r="L17" s="105">
        <v>1</v>
      </c>
      <c r="M17" s="105">
        <v>1</v>
      </c>
      <c r="N17" s="105">
        <v>1</v>
      </c>
      <c r="O17" s="105">
        <v>1</v>
      </c>
    </row>
    <row r="18" spans="1:15" x14ac:dyDescent="0.2">
      <c r="B18" s="146" t="s">
        <v>98</v>
      </c>
      <c r="C18" s="105">
        <v>1</v>
      </c>
      <c r="D18" s="105">
        <v>1</v>
      </c>
      <c r="E18" s="105">
        <v>1</v>
      </c>
      <c r="F18" s="105">
        <v>1</v>
      </c>
      <c r="G18" s="105">
        <v>1</v>
      </c>
      <c r="H18" s="105">
        <v>0.73</v>
      </c>
      <c r="I18" s="105">
        <v>0.73</v>
      </c>
      <c r="J18" s="105">
        <v>0.73</v>
      </c>
      <c r="K18" s="105">
        <v>0.73</v>
      </c>
      <c r="L18" s="105">
        <v>1</v>
      </c>
      <c r="M18" s="105">
        <v>1</v>
      </c>
      <c r="N18" s="105">
        <v>1</v>
      </c>
      <c r="O18" s="105">
        <v>1</v>
      </c>
    </row>
    <row r="19" spans="1:15" x14ac:dyDescent="0.2">
      <c r="B19" s="146" t="s">
        <v>99</v>
      </c>
      <c r="C19" s="105">
        <v>1</v>
      </c>
      <c r="D19" s="105">
        <v>1</v>
      </c>
      <c r="E19" s="105">
        <v>1</v>
      </c>
      <c r="F19" s="105">
        <v>1</v>
      </c>
      <c r="G19" s="105">
        <v>1</v>
      </c>
      <c r="H19" s="105">
        <v>0.73</v>
      </c>
      <c r="I19" s="105">
        <v>0.73</v>
      </c>
      <c r="J19" s="105">
        <v>0.73</v>
      </c>
      <c r="K19" s="105">
        <v>0.73</v>
      </c>
      <c r="L19" s="105">
        <v>1</v>
      </c>
      <c r="M19" s="105">
        <v>1</v>
      </c>
      <c r="N19" s="105">
        <v>1</v>
      </c>
      <c r="O19" s="105">
        <v>1</v>
      </c>
    </row>
    <row r="20" spans="1:15" x14ac:dyDescent="0.2">
      <c r="B20" s="146" t="s">
        <v>100</v>
      </c>
      <c r="C20" s="105">
        <v>1</v>
      </c>
      <c r="D20" s="105">
        <v>1</v>
      </c>
      <c r="E20" s="105">
        <v>1</v>
      </c>
      <c r="F20" s="105">
        <v>1</v>
      </c>
      <c r="G20" s="105">
        <v>1</v>
      </c>
      <c r="H20" s="105">
        <v>0.73</v>
      </c>
      <c r="I20" s="105">
        <v>0.73</v>
      </c>
      <c r="J20" s="105">
        <v>0.73</v>
      </c>
      <c r="K20" s="105">
        <v>0.73</v>
      </c>
      <c r="L20" s="105">
        <v>1</v>
      </c>
      <c r="M20" s="105">
        <v>1</v>
      </c>
      <c r="N20" s="105">
        <v>1</v>
      </c>
      <c r="O20" s="105">
        <v>1</v>
      </c>
    </row>
    <row r="21" spans="1:15" x14ac:dyDescent="0.2">
      <c r="B21" s="146" t="s">
        <v>101</v>
      </c>
      <c r="C21" s="105">
        <v>1</v>
      </c>
      <c r="D21" s="105">
        <v>1</v>
      </c>
      <c r="E21" s="105">
        <v>1</v>
      </c>
      <c r="F21" s="105">
        <v>1</v>
      </c>
      <c r="G21" s="105">
        <v>1</v>
      </c>
      <c r="H21" s="105">
        <v>0.73</v>
      </c>
      <c r="I21" s="105">
        <v>0.73</v>
      </c>
      <c r="J21" s="105">
        <v>0.73</v>
      </c>
      <c r="K21" s="105">
        <v>0.73</v>
      </c>
      <c r="L21" s="105">
        <v>1</v>
      </c>
      <c r="M21" s="105">
        <v>1</v>
      </c>
      <c r="N21" s="105">
        <v>1</v>
      </c>
      <c r="O21" s="105">
        <v>1</v>
      </c>
    </row>
    <row r="22" spans="1:15" ht="14.1" customHeight="1" x14ac:dyDescent="0.2">
      <c r="B22" s="64" t="s">
        <v>290</v>
      </c>
      <c r="C22" s="105">
        <v>1</v>
      </c>
      <c r="D22" s="105">
        <v>1</v>
      </c>
      <c r="E22" s="105">
        <v>0.6</v>
      </c>
      <c r="F22" s="105">
        <v>0.6</v>
      </c>
      <c r="G22" s="105">
        <v>1</v>
      </c>
      <c r="H22" s="105">
        <v>1</v>
      </c>
      <c r="I22" s="105">
        <v>1</v>
      </c>
      <c r="J22" s="105">
        <v>1</v>
      </c>
      <c r="K22" s="105">
        <v>1</v>
      </c>
      <c r="L22" s="105">
        <v>1</v>
      </c>
      <c r="M22" s="105">
        <v>1</v>
      </c>
      <c r="N22" s="105">
        <v>1</v>
      </c>
      <c r="O22" s="105">
        <v>1</v>
      </c>
    </row>
    <row r="23" spans="1:15" x14ac:dyDescent="0.2">
      <c r="B23" s="64" t="s">
        <v>291</v>
      </c>
      <c r="C23" s="105">
        <v>1</v>
      </c>
      <c r="D23" s="105">
        <v>1</v>
      </c>
      <c r="E23" s="105">
        <v>0.6</v>
      </c>
      <c r="F23" s="105">
        <v>0.6</v>
      </c>
      <c r="G23" s="105">
        <v>1</v>
      </c>
      <c r="H23" s="105">
        <v>1</v>
      </c>
      <c r="I23" s="105">
        <v>1</v>
      </c>
      <c r="J23" s="105">
        <v>1</v>
      </c>
      <c r="K23" s="105">
        <v>1</v>
      </c>
      <c r="L23" s="105">
        <v>1</v>
      </c>
      <c r="M23" s="105">
        <v>1</v>
      </c>
      <c r="N23" s="105">
        <v>1</v>
      </c>
      <c r="O23" s="105">
        <v>1</v>
      </c>
    </row>
    <row r="24" spans="1:15" x14ac:dyDescent="0.2">
      <c r="B24" s="146" t="s">
        <v>293</v>
      </c>
      <c r="C24" s="105">
        <v>1</v>
      </c>
      <c r="D24" s="105">
        <v>1</v>
      </c>
      <c r="E24" s="105">
        <v>0.35</v>
      </c>
      <c r="F24" s="105">
        <v>0.35</v>
      </c>
      <c r="G24" s="105">
        <v>0.35</v>
      </c>
      <c r="H24" s="105">
        <v>1</v>
      </c>
      <c r="I24" s="105">
        <v>1</v>
      </c>
      <c r="J24" s="105">
        <v>1</v>
      </c>
      <c r="K24" s="105">
        <v>1</v>
      </c>
      <c r="L24" s="105">
        <v>1</v>
      </c>
      <c r="M24" s="105">
        <v>1</v>
      </c>
      <c r="N24" s="105">
        <v>1</v>
      </c>
      <c r="O24" s="105">
        <v>1</v>
      </c>
    </row>
    <row r="25" spans="1:15" x14ac:dyDescent="0.2">
      <c r="B25" s="146" t="s">
        <v>294</v>
      </c>
      <c r="C25" s="105">
        <v>1</v>
      </c>
      <c r="D25" s="105">
        <v>1</v>
      </c>
      <c r="E25" s="105">
        <v>0.35</v>
      </c>
      <c r="F25" s="105">
        <v>0.35</v>
      </c>
      <c r="G25" s="105">
        <v>0.35</v>
      </c>
      <c r="H25" s="105">
        <v>1</v>
      </c>
      <c r="I25" s="105">
        <v>1</v>
      </c>
      <c r="J25" s="105">
        <v>1</v>
      </c>
      <c r="K25" s="105">
        <v>1</v>
      </c>
      <c r="L25" s="105">
        <v>1</v>
      </c>
      <c r="M25" s="105">
        <v>1</v>
      </c>
      <c r="N25" s="105">
        <v>1</v>
      </c>
      <c r="O25" s="105">
        <v>1</v>
      </c>
    </row>
    <row r="26" spans="1:15" x14ac:dyDescent="0.2">
      <c r="B26" s="146" t="s">
        <v>56</v>
      </c>
      <c r="C26" s="105">
        <v>0.83</v>
      </c>
      <c r="D26" s="105">
        <v>0.83</v>
      </c>
      <c r="E26" s="105">
        <v>0.83</v>
      </c>
      <c r="F26" s="105">
        <v>0.83</v>
      </c>
      <c r="G26" s="105">
        <v>0.83</v>
      </c>
      <c r="H26" s="105">
        <v>0.83</v>
      </c>
      <c r="I26" s="105">
        <v>0.83</v>
      </c>
      <c r="J26" s="105">
        <v>0.83</v>
      </c>
      <c r="K26" s="105">
        <v>0.83</v>
      </c>
      <c r="L26" s="105">
        <v>0.83</v>
      </c>
      <c r="M26" s="105">
        <v>0.83</v>
      </c>
      <c r="N26" s="105">
        <v>0.83</v>
      </c>
      <c r="O26" s="105">
        <v>0.83</v>
      </c>
    </row>
    <row r="28" spans="1:15" x14ac:dyDescent="0.2">
      <c r="A28" s="7" t="s">
        <v>296</v>
      </c>
      <c r="B28" s="146"/>
    </row>
    <row r="29" spans="1:15" x14ac:dyDescent="0.2">
      <c r="B29" s="64" t="s">
        <v>58</v>
      </c>
      <c r="C29" s="105">
        <v>1</v>
      </c>
      <c r="D29" s="105">
        <v>1</v>
      </c>
      <c r="E29" s="105">
        <v>0.97599999999999998</v>
      </c>
      <c r="F29" s="105">
        <v>0.97599999999999998</v>
      </c>
      <c r="G29" s="105">
        <v>0.97599999999999998</v>
      </c>
      <c r="H29" s="105">
        <v>0.97599999999999998</v>
      </c>
      <c r="I29" s="105">
        <v>0.97599999999999998</v>
      </c>
      <c r="J29" s="105">
        <v>0.97599999999999998</v>
      </c>
      <c r="K29" s="105">
        <v>0.97599999999999998</v>
      </c>
      <c r="L29" s="105">
        <v>0.97599999999999998</v>
      </c>
      <c r="M29" s="105">
        <v>0.97599999999999998</v>
      </c>
      <c r="N29" s="105">
        <v>0.97599999999999998</v>
      </c>
      <c r="O29" s="105">
        <v>0.97599999999999998</v>
      </c>
    </row>
    <row r="30" spans="1:15" x14ac:dyDescent="0.2">
      <c r="B30" s="64" t="s">
        <v>59</v>
      </c>
      <c r="C30" s="105">
        <v>1</v>
      </c>
      <c r="D30" s="105">
        <v>1</v>
      </c>
      <c r="E30" s="105">
        <v>0.97599999999999998</v>
      </c>
      <c r="F30" s="105">
        <v>0.97599999999999998</v>
      </c>
      <c r="G30" s="105">
        <v>0.97599999999999998</v>
      </c>
      <c r="H30" s="105">
        <v>0.97599999999999998</v>
      </c>
      <c r="I30" s="105">
        <v>0.97599999999999998</v>
      </c>
      <c r="J30" s="105">
        <v>0.97599999999999998</v>
      </c>
      <c r="K30" s="105">
        <v>0.97599999999999998</v>
      </c>
      <c r="L30" s="105">
        <v>0.97599999999999998</v>
      </c>
      <c r="M30" s="105">
        <v>0.97599999999999998</v>
      </c>
      <c r="N30" s="105">
        <v>0.97599999999999998</v>
      </c>
      <c r="O30" s="105">
        <v>0.97599999999999998</v>
      </c>
    </row>
    <row r="31" spans="1:15" x14ac:dyDescent="0.2">
      <c r="B31" s="64" t="s">
        <v>60</v>
      </c>
      <c r="C31" s="105">
        <v>1</v>
      </c>
      <c r="D31" s="105">
        <v>1</v>
      </c>
      <c r="E31" s="105">
        <v>0.97599999999999998</v>
      </c>
      <c r="F31" s="105">
        <v>0.97599999999999998</v>
      </c>
      <c r="G31" s="105">
        <v>0.97599999999999998</v>
      </c>
      <c r="H31" s="105">
        <v>0.97599999999999998</v>
      </c>
      <c r="I31" s="105">
        <v>0.97599999999999998</v>
      </c>
      <c r="J31" s="105">
        <v>0.97599999999999998</v>
      </c>
      <c r="K31" s="105">
        <v>0.97599999999999998</v>
      </c>
      <c r="L31" s="105">
        <v>0.97599999999999998</v>
      </c>
      <c r="M31" s="105">
        <v>0.97599999999999998</v>
      </c>
      <c r="N31" s="105">
        <v>0.97599999999999998</v>
      </c>
      <c r="O31" s="105">
        <v>0.97599999999999998</v>
      </c>
    </row>
    <row r="32" spans="1:15" x14ac:dyDescent="0.2">
      <c r="B32" s="64" t="s">
        <v>72</v>
      </c>
      <c r="C32" s="105">
        <v>1</v>
      </c>
      <c r="D32" s="105">
        <v>1</v>
      </c>
      <c r="E32" s="105">
        <v>0.9</v>
      </c>
      <c r="F32" s="105">
        <v>0.9</v>
      </c>
      <c r="G32" s="105">
        <v>0.9</v>
      </c>
      <c r="H32" s="105">
        <v>0.9</v>
      </c>
      <c r="I32" s="105">
        <v>0.9</v>
      </c>
      <c r="J32" s="105">
        <v>0.9</v>
      </c>
      <c r="K32" s="105">
        <v>0.9</v>
      </c>
      <c r="L32" s="105">
        <v>0.9</v>
      </c>
      <c r="M32" s="105">
        <v>0.9</v>
      </c>
      <c r="N32" s="105">
        <v>0.9</v>
      </c>
      <c r="O32" s="105">
        <v>0.9</v>
      </c>
    </row>
    <row r="33" spans="2:15" x14ac:dyDescent="0.2">
      <c r="B33" s="64" t="s">
        <v>109</v>
      </c>
      <c r="C33" s="105">
        <v>1</v>
      </c>
      <c r="D33" s="105">
        <v>1</v>
      </c>
      <c r="E33" s="105">
        <v>0.97599999999999998</v>
      </c>
      <c r="F33" s="105">
        <v>0.97599999999999998</v>
      </c>
      <c r="G33" s="105">
        <v>0.97599999999999998</v>
      </c>
      <c r="H33" s="105">
        <v>0.97599999999999998</v>
      </c>
      <c r="I33" s="105">
        <v>0.97599999999999998</v>
      </c>
      <c r="J33" s="105">
        <v>0.97599999999999998</v>
      </c>
      <c r="K33" s="105">
        <v>0.97599999999999998</v>
      </c>
      <c r="L33" s="105">
        <v>0.97599999999999998</v>
      </c>
      <c r="M33" s="105">
        <v>0.97599999999999998</v>
      </c>
      <c r="N33" s="105">
        <v>0.97599999999999998</v>
      </c>
      <c r="O33" s="105">
        <v>0.97599999999999998</v>
      </c>
    </row>
    <row r="34" spans="2:15" x14ac:dyDescent="0.2">
      <c r="B34" s="64" t="s">
        <v>110</v>
      </c>
      <c r="C34" s="105">
        <v>1</v>
      </c>
      <c r="D34" s="105">
        <v>1</v>
      </c>
      <c r="E34" s="105">
        <v>0.97599999999999998</v>
      </c>
      <c r="F34" s="105">
        <v>0.97599999999999998</v>
      </c>
      <c r="G34" s="105">
        <v>0.97599999999999998</v>
      </c>
      <c r="H34" s="105">
        <v>0.97599999999999998</v>
      </c>
      <c r="I34" s="105">
        <v>0.97599999999999998</v>
      </c>
      <c r="J34" s="105">
        <v>0.97599999999999998</v>
      </c>
      <c r="K34" s="105">
        <v>0.97599999999999998</v>
      </c>
      <c r="L34" s="105">
        <v>0.97599999999999998</v>
      </c>
      <c r="M34" s="105">
        <v>0.97599999999999998</v>
      </c>
      <c r="N34" s="105">
        <v>0.97599999999999998</v>
      </c>
      <c r="O34" s="105">
        <v>0.97599999999999998</v>
      </c>
    </row>
    <row r="35" spans="2:15" x14ac:dyDescent="0.2">
      <c r="B35" s="64" t="s">
        <v>111</v>
      </c>
      <c r="C35" s="105">
        <v>1</v>
      </c>
      <c r="D35" s="105">
        <v>1</v>
      </c>
      <c r="E35" s="105">
        <v>0.97599999999999998</v>
      </c>
      <c r="F35" s="105">
        <v>0.97599999999999998</v>
      </c>
      <c r="G35" s="105">
        <v>0.97599999999999998</v>
      </c>
      <c r="H35" s="105">
        <v>0.97599999999999998</v>
      </c>
      <c r="I35" s="105">
        <v>0.97599999999999998</v>
      </c>
      <c r="J35" s="105">
        <v>0.97599999999999998</v>
      </c>
      <c r="K35" s="105">
        <v>0.97599999999999998</v>
      </c>
      <c r="L35" s="105">
        <v>0.97599999999999998</v>
      </c>
      <c r="M35" s="105">
        <v>0.97599999999999998</v>
      </c>
      <c r="N35" s="105">
        <v>0.97599999999999998</v>
      </c>
      <c r="O35" s="105">
        <v>0.97599999999999998</v>
      </c>
    </row>
    <row r="40" spans="2:15" x14ac:dyDescent="0.2">
      <c r="B40" s="3"/>
    </row>
    <row r="41" spans="2:15" x14ac:dyDescent="0.2">
      <c r="B41" s="3"/>
    </row>
    <row r="42" spans="2:15" x14ac:dyDescent="0.2">
      <c r="B42" s="3"/>
    </row>
    <row r="43" spans="2:15" x14ac:dyDescent="0.2">
      <c r="B43" s="3"/>
    </row>
  </sheetData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5"/>
  <sheetViews>
    <sheetView workbookViewId="0">
      <selection activeCell="L25" sqref="L25"/>
    </sheetView>
  </sheetViews>
  <sheetFormatPr defaultColWidth="11.42578125" defaultRowHeight="12.75" x14ac:dyDescent="0.2"/>
  <cols>
    <col min="1" max="1" width="19.140625" customWidth="1"/>
    <col min="2" max="2" width="24.42578125" customWidth="1"/>
    <col min="3" max="7" width="14" customWidth="1"/>
  </cols>
  <sheetData>
    <row r="1" spans="1:7" x14ac:dyDescent="0.2">
      <c r="A1" s="7"/>
      <c r="B1" s="1"/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x14ac:dyDescent="0.2">
      <c r="A2" s="7" t="s">
        <v>297</v>
      </c>
    </row>
    <row r="3" spans="1:7" x14ac:dyDescent="0.2">
      <c r="B3" s="146" t="s">
        <v>115</v>
      </c>
      <c r="C3" s="106">
        <v>1</v>
      </c>
      <c r="D3" s="106">
        <v>0.21</v>
      </c>
      <c r="E3" s="106">
        <v>0.21</v>
      </c>
      <c r="F3" s="106">
        <v>0.21</v>
      </c>
      <c r="G3" s="106">
        <v>0.21</v>
      </c>
    </row>
    <row r="4" spans="1:7" x14ac:dyDescent="0.2">
      <c r="A4" s="7" t="s">
        <v>298</v>
      </c>
      <c r="B4" s="146"/>
      <c r="C4" s="22"/>
      <c r="D4" s="22"/>
      <c r="E4" s="22"/>
      <c r="F4" s="22"/>
      <c r="G4" s="22"/>
    </row>
    <row r="5" spans="1:7" x14ac:dyDescent="0.2">
      <c r="B5" s="64" t="s">
        <v>114</v>
      </c>
      <c r="C5" s="106">
        <v>1</v>
      </c>
      <c r="D5" s="106">
        <v>0.14299999999999999</v>
      </c>
      <c r="E5" s="106">
        <v>0.14299999999999999</v>
      </c>
      <c r="F5" s="106">
        <v>0.14299999999999999</v>
      </c>
      <c r="G5" s="106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L15"/>
  <sheetViews>
    <sheetView zoomScale="85" zoomScaleNormal="85" workbookViewId="0">
      <selection activeCell="C14" sqref="C14"/>
    </sheetView>
  </sheetViews>
  <sheetFormatPr defaultColWidth="14.42578125" defaultRowHeight="15.75" customHeight="1" x14ac:dyDescent="0.2"/>
  <cols>
    <col min="1" max="1" width="8.42578125" style="80" customWidth="1"/>
    <col min="2" max="10" width="16.85546875" style="80" customWidth="1"/>
    <col min="11" max="11" width="18.7109375" style="80" customWidth="1"/>
    <col min="12" max="12" width="16.85546875" style="80" customWidth="1"/>
    <col min="13" max="16384" width="14.42578125" style="80"/>
  </cols>
  <sheetData>
    <row r="1" spans="1:12" s="95" customFormat="1" ht="30" customHeight="1" x14ac:dyDescent="0.2">
      <c r="A1" s="117" t="s">
        <v>0</v>
      </c>
      <c r="B1" s="104" t="s">
        <v>227</v>
      </c>
      <c r="C1" s="99" t="s">
        <v>228</v>
      </c>
      <c r="D1" s="99" t="s">
        <v>78</v>
      </c>
      <c r="E1" s="99" t="s">
        <v>79</v>
      </c>
      <c r="F1" s="99" t="s">
        <v>80</v>
      </c>
      <c r="G1" s="99" t="s">
        <v>81</v>
      </c>
      <c r="H1" s="99" t="s">
        <v>226</v>
      </c>
      <c r="I1" s="99" t="s">
        <v>229</v>
      </c>
      <c r="J1" s="99" t="s">
        <v>281</v>
      </c>
      <c r="K1" s="99" t="s">
        <v>280</v>
      </c>
      <c r="L1" s="99" t="s">
        <v>61</v>
      </c>
    </row>
    <row r="2" spans="1:12" ht="15.75" customHeight="1" x14ac:dyDescent="0.2">
      <c r="A2" s="16">
        <v>2017</v>
      </c>
      <c r="B2" s="14">
        <v>3095470</v>
      </c>
      <c r="C2" s="96">
        <v>15402200</v>
      </c>
      <c r="D2" s="96">
        <v>8785700</v>
      </c>
      <c r="E2" s="96">
        <v>13889200</v>
      </c>
      <c r="F2" s="96">
        <v>12671800</v>
      </c>
      <c r="G2" s="96">
        <v>9362400</v>
      </c>
      <c r="H2" s="96">
        <v>173766200</v>
      </c>
      <c r="I2" s="97">
        <f t="shared" ref="I2:I15" si="0">D2+E2+F2+G2</f>
        <v>44709100</v>
      </c>
      <c r="J2" s="97">
        <f t="shared" ref="J2:J15" si="1">(B2 + stillbirth*B2/(1000-stillbirth))/(1-abortion)</f>
        <v>3650590.4685349194</v>
      </c>
      <c r="K2" s="98">
        <f t="shared" ref="K2:K15" si="2">D2/I2</f>
        <v>0.19650809343064388</v>
      </c>
      <c r="L2" s="97">
        <f>I2-J2</f>
        <v>41058509.531465083</v>
      </c>
    </row>
    <row r="3" spans="1:12" ht="15.75" customHeight="1" x14ac:dyDescent="0.2">
      <c r="A3" s="16">
        <v>2018</v>
      </c>
      <c r="B3" s="14">
        <v>3071259</v>
      </c>
      <c r="C3" s="96">
        <v>15629400.000000002</v>
      </c>
      <c r="D3" s="96">
        <v>8937400.0000000019</v>
      </c>
      <c r="E3" s="96">
        <v>14228400.000000002</v>
      </c>
      <c r="F3" s="96">
        <v>12949600</v>
      </c>
      <c r="G3" s="96">
        <v>9576800</v>
      </c>
      <c r="H3" s="96">
        <v>175848400</v>
      </c>
      <c r="I3" s="97">
        <f t="shared" si="0"/>
        <v>45692200</v>
      </c>
      <c r="J3" s="97">
        <f t="shared" si="1"/>
        <v>3622037.632993402</v>
      </c>
      <c r="K3" s="98">
        <f t="shared" si="2"/>
        <v>0.19560012431005733</v>
      </c>
      <c r="L3" s="97">
        <f t="shared" ref="L3:L15" si="3">I3-J3</f>
        <v>42070162.3670066</v>
      </c>
    </row>
    <row r="4" spans="1:12" ht="15.75" customHeight="1" x14ac:dyDescent="0.2">
      <c r="A4" s="16">
        <v>2019</v>
      </c>
      <c r="B4" s="14">
        <v>3045241</v>
      </c>
      <c r="C4" s="96">
        <v>15856600.000000002</v>
      </c>
      <c r="D4" s="96">
        <v>9089100.0000000019</v>
      </c>
      <c r="E4" s="96">
        <v>14567600.000000002</v>
      </c>
      <c r="F4" s="96">
        <v>13227400</v>
      </c>
      <c r="G4" s="96">
        <v>9791200.0000000019</v>
      </c>
      <c r="H4" s="96">
        <v>177930600</v>
      </c>
      <c r="I4" s="97">
        <f t="shared" si="0"/>
        <v>46675300</v>
      </c>
      <c r="J4" s="97">
        <f t="shared" si="1"/>
        <v>3591353.7424015561</v>
      </c>
      <c r="K4" s="98">
        <f t="shared" si="2"/>
        <v>0.19473040344679096</v>
      </c>
      <c r="L4" s="97">
        <f t="shared" si="3"/>
        <v>43083946.257598445</v>
      </c>
    </row>
    <row r="5" spans="1:12" ht="15.75" customHeight="1" x14ac:dyDescent="0.2">
      <c r="A5" s="16">
        <v>2020</v>
      </c>
      <c r="B5" s="14">
        <v>3017266</v>
      </c>
      <c r="C5" s="96">
        <v>16083800.000000004</v>
      </c>
      <c r="D5" s="96">
        <v>9240800.0000000037</v>
      </c>
      <c r="E5" s="96">
        <v>14906800.000000004</v>
      </c>
      <c r="F5" s="96">
        <v>13505200</v>
      </c>
      <c r="G5" s="96">
        <v>10005600.000000004</v>
      </c>
      <c r="H5" s="96">
        <v>180012800</v>
      </c>
      <c r="I5" s="97">
        <f t="shared" si="0"/>
        <v>47658400.000000015</v>
      </c>
      <c r="J5" s="97">
        <f t="shared" si="1"/>
        <v>3558361.8967828737</v>
      </c>
      <c r="K5" s="98">
        <f t="shared" si="2"/>
        <v>0.19389656387960991</v>
      </c>
      <c r="L5" s="97">
        <f t="shared" si="3"/>
        <v>44100038.10321714</v>
      </c>
    </row>
    <row r="6" spans="1:12" ht="15.75" customHeight="1" x14ac:dyDescent="0.2">
      <c r="A6" s="16">
        <v>2021</v>
      </c>
      <c r="B6" s="14">
        <v>2990677</v>
      </c>
      <c r="C6" s="96">
        <v>16311000.000000004</v>
      </c>
      <c r="D6" s="96">
        <v>9392500.0000000037</v>
      </c>
      <c r="E6" s="96">
        <v>15246000.000000004</v>
      </c>
      <c r="F6" s="96">
        <v>13783000</v>
      </c>
      <c r="G6" s="96">
        <v>10220000.000000004</v>
      </c>
      <c r="H6" s="96">
        <v>182095000</v>
      </c>
      <c r="I6" s="97">
        <f t="shared" si="0"/>
        <v>48641500.000000015</v>
      </c>
      <c r="J6" s="97">
        <f t="shared" si="1"/>
        <v>3527004.6069471212</v>
      </c>
      <c r="K6" s="98">
        <f t="shared" si="2"/>
        <v>0.1930964300031866</v>
      </c>
      <c r="L6" s="97">
        <f t="shared" si="3"/>
        <v>45114495.393052891</v>
      </c>
    </row>
    <row r="7" spans="1:12" ht="15.75" customHeight="1" x14ac:dyDescent="0.2">
      <c r="A7" s="16">
        <v>2022</v>
      </c>
      <c r="B7" s="14">
        <v>2962144</v>
      </c>
      <c r="C7" s="96">
        <v>16190600.000000004</v>
      </c>
      <c r="D7" s="96">
        <v>9004300.0000000037</v>
      </c>
      <c r="E7" s="96">
        <v>15785700.000000004</v>
      </c>
      <c r="F7" s="96">
        <v>13711700</v>
      </c>
      <c r="G7" s="96">
        <v>10609600.000000004</v>
      </c>
      <c r="H7" s="96">
        <v>183822800</v>
      </c>
      <c r="I7" s="97">
        <f t="shared" si="0"/>
        <v>49111300.000000015</v>
      </c>
      <c r="J7" s="97">
        <f t="shared" si="1"/>
        <v>3493354.6934158299</v>
      </c>
      <c r="K7" s="98">
        <f t="shared" si="2"/>
        <v>0.1833447699409301</v>
      </c>
      <c r="L7" s="97">
        <f t="shared" si="3"/>
        <v>45617945.306584187</v>
      </c>
    </row>
    <row r="8" spans="1:12" ht="15.75" customHeight="1" x14ac:dyDescent="0.2">
      <c r="A8" s="16">
        <v>2023</v>
      </c>
      <c r="B8" s="14">
        <v>2931643</v>
      </c>
      <c r="C8" s="96">
        <v>16070200.000000004</v>
      </c>
      <c r="D8" s="96">
        <v>8616100.0000000019</v>
      </c>
      <c r="E8" s="96">
        <v>16325400.000000004</v>
      </c>
      <c r="F8" s="96">
        <v>13640400</v>
      </c>
      <c r="G8" s="96">
        <v>10999200.000000002</v>
      </c>
      <c r="H8" s="96">
        <v>185550600</v>
      </c>
      <c r="I8" s="97">
        <f t="shared" si="0"/>
        <v>49581100.000000007</v>
      </c>
      <c r="J8" s="97">
        <f t="shared" si="1"/>
        <v>3457383.8521927581</v>
      </c>
      <c r="K8" s="98">
        <f t="shared" si="2"/>
        <v>0.17377791134121673</v>
      </c>
      <c r="L8" s="97">
        <f t="shared" si="3"/>
        <v>46123716.147807248</v>
      </c>
    </row>
    <row r="9" spans="1:12" ht="15.75" customHeight="1" x14ac:dyDescent="0.2">
      <c r="A9" s="16">
        <v>2024</v>
      </c>
      <c r="B9" s="14">
        <v>2899255</v>
      </c>
      <c r="C9" s="96">
        <v>15949800.000000006</v>
      </c>
      <c r="D9" s="96">
        <v>8227900.0000000019</v>
      </c>
      <c r="E9" s="96">
        <v>16865100.000000004</v>
      </c>
      <c r="F9" s="96">
        <v>13569100</v>
      </c>
      <c r="G9" s="96">
        <v>11388800</v>
      </c>
      <c r="H9" s="96">
        <v>187278400</v>
      </c>
      <c r="I9" s="97">
        <f t="shared" si="0"/>
        <v>50050900.000000007</v>
      </c>
      <c r="J9" s="97">
        <f t="shared" si="1"/>
        <v>3419187.609265219</v>
      </c>
      <c r="K9" s="98">
        <f t="shared" si="2"/>
        <v>0.16439065031797631</v>
      </c>
      <c r="L9" s="97">
        <f t="shared" si="3"/>
        <v>46631712.390734792</v>
      </c>
    </row>
    <row r="10" spans="1:12" ht="15.75" customHeight="1" x14ac:dyDescent="0.2">
      <c r="A10" s="16">
        <v>2025</v>
      </c>
      <c r="B10" s="14">
        <v>2865008</v>
      </c>
      <c r="C10" s="96">
        <v>15829400.000000006</v>
      </c>
      <c r="D10" s="96">
        <v>7839700.0000000019</v>
      </c>
      <c r="E10" s="96">
        <v>17404800.000000004</v>
      </c>
      <c r="F10" s="96">
        <v>13497800</v>
      </c>
      <c r="G10" s="96">
        <v>11778400</v>
      </c>
      <c r="H10" s="96">
        <v>189006200</v>
      </c>
      <c r="I10" s="97">
        <f t="shared" si="0"/>
        <v>50520700.000000007</v>
      </c>
      <c r="J10" s="97">
        <f t="shared" si="1"/>
        <v>3378798.9859621613</v>
      </c>
      <c r="K10" s="98">
        <f t="shared" si="2"/>
        <v>0.15517797655218554</v>
      </c>
      <c r="L10" s="97">
        <f t="shared" si="3"/>
        <v>47141901.014037848</v>
      </c>
    </row>
    <row r="11" spans="1:12" ht="15.75" customHeight="1" x14ac:dyDescent="0.2">
      <c r="A11" s="16">
        <v>2026</v>
      </c>
      <c r="B11" s="14">
        <v>2836142</v>
      </c>
      <c r="C11" s="96">
        <v>15709000.000000006</v>
      </c>
      <c r="D11" s="96">
        <v>7451500.0000000019</v>
      </c>
      <c r="E11" s="96">
        <v>17944500</v>
      </c>
      <c r="F11" s="96">
        <v>13426500</v>
      </c>
      <c r="G11" s="96">
        <v>12168000</v>
      </c>
      <c r="H11" s="96">
        <v>190734000</v>
      </c>
      <c r="I11" s="97">
        <f t="shared" si="0"/>
        <v>50990500</v>
      </c>
      <c r="J11" s="97">
        <f t="shared" si="1"/>
        <v>3344756.3544830228</v>
      </c>
      <c r="K11" s="98">
        <f t="shared" si="2"/>
        <v>0.1461350643747365</v>
      </c>
      <c r="L11" s="97">
        <f t="shared" si="3"/>
        <v>47645743.645516977</v>
      </c>
    </row>
    <row r="12" spans="1:12" ht="15.75" customHeight="1" x14ac:dyDescent="0.2">
      <c r="A12" s="16">
        <v>2027</v>
      </c>
      <c r="B12" s="14">
        <v>2805541</v>
      </c>
      <c r="C12" s="96">
        <v>15358200.000000006</v>
      </c>
      <c r="D12" s="96">
        <v>7411700.0000000019</v>
      </c>
      <c r="E12" s="96">
        <v>17710400</v>
      </c>
      <c r="F12" s="96">
        <v>13766300</v>
      </c>
      <c r="G12" s="96">
        <v>12445000</v>
      </c>
      <c r="H12" s="96">
        <v>192287600</v>
      </c>
      <c r="I12" s="97">
        <f t="shared" si="0"/>
        <v>51333400</v>
      </c>
      <c r="J12" s="97">
        <f t="shared" si="1"/>
        <v>3308667.5799422786</v>
      </c>
      <c r="K12" s="98">
        <f t="shared" si="2"/>
        <v>0.14438357872262508</v>
      </c>
      <c r="L12" s="97">
        <f t="shared" si="3"/>
        <v>48024732.420057721</v>
      </c>
    </row>
    <row r="13" spans="1:12" ht="15.75" customHeight="1" x14ac:dyDescent="0.2">
      <c r="A13" s="16">
        <v>2028</v>
      </c>
      <c r="B13" s="14">
        <v>2773236</v>
      </c>
      <c r="C13" s="96">
        <v>15007400.000000007</v>
      </c>
      <c r="D13" s="96">
        <v>7371900.0000000019</v>
      </c>
      <c r="E13" s="96">
        <v>17476300</v>
      </c>
      <c r="F13" s="96">
        <v>14106100</v>
      </c>
      <c r="G13" s="96">
        <v>12722000</v>
      </c>
      <c r="H13" s="96">
        <v>193841200</v>
      </c>
      <c r="I13" s="97">
        <f t="shared" si="0"/>
        <v>51676300</v>
      </c>
      <c r="J13" s="97">
        <f t="shared" si="1"/>
        <v>3270569.2216684073</v>
      </c>
      <c r="K13" s="98">
        <f t="shared" si="2"/>
        <v>0.14265533716616713</v>
      </c>
      <c r="L13" s="97">
        <f t="shared" si="3"/>
        <v>48405730.778331593</v>
      </c>
    </row>
    <row r="14" spans="1:12" ht="15.75" customHeight="1" x14ac:dyDescent="0.2">
      <c r="A14" s="16">
        <v>2029</v>
      </c>
      <c r="B14" s="14">
        <v>2739273</v>
      </c>
      <c r="C14" s="96">
        <v>14656600.000000007</v>
      </c>
      <c r="D14" s="96">
        <v>7332100.0000000009</v>
      </c>
      <c r="E14" s="96">
        <v>17242200</v>
      </c>
      <c r="F14" s="96">
        <v>14445900</v>
      </c>
      <c r="G14" s="96">
        <v>12999000</v>
      </c>
      <c r="H14" s="96">
        <v>195394800</v>
      </c>
      <c r="I14" s="97">
        <f t="shared" si="0"/>
        <v>52019200</v>
      </c>
      <c r="J14" s="97">
        <f t="shared" si="1"/>
        <v>3230515.5289875376</v>
      </c>
      <c r="K14" s="98">
        <f t="shared" si="2"/>
        <v>0.14094988004429135</v>
      </c>
      <c r="L14" s="97">
        <f t="shared" si="3"/>
        <v>48788684.471012466</v>
      </c>
    </row>
    <row r="15" spans="1:12" ht="15.75" customHeight="1" x14ac:dyDescent="0.2">
      <c r="A15" s="16">
        <v>2030</v>
      </c>
      <c r="B15" s="14">
        <v>2703670</v>
      </c>
      <c r="C15" s="96">
        <v>14305800.000000007</v>
      </c>
      <c r="D15" s="96">
        <v>7292300.0000000009</v>
      </c>
      <c r="E15" s="96">
        <v>17008100</v>
      </c>
      <c r="F15" s="96">
        <v>14785700</v>
      </c>
      <c r="G15" s="96">
        <v>13276000</v>
      </c>
      <c r="H15" s="96">
        <v>196948400</v>
      </c>
      <c r="I15" s="97">
        <f t="shared" si="0"/>
        <v>52362100</v>
      </c>
      <c r="J15" s="97">
        <f t="shared" si="1"/>
        <v>3188527.7298968509</v>
      </c>
      <c r="K15" s="98">
        <f t="shared" si="2"/>
        <v>0.139266759736527</v>
      </c>
      <c r="L15" s="97">
        <f t="shared" si="3"/>
        <v>49173572.270103149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1"/>
  <sheetViews>
    <sheetView workbookViewId="0">
      <selection activeCell="M31" sqref="M31"/>
    </sheetView>
  </sheetViews>
  <sheetFormatPr defaultColWidth="11.42578125" defaultRowHeight="12.75" x14ac:dyDescent="0.2"/>
  <cols>
    <col min="1" max="1" width="47.7109375" customWidth="1"/>
    <col min="2" max="2" width="27.42578125" customWidth="1"/>
    <col min="3" max="3" width="22.28515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154</v>
      </c>
      <c r="B1" s="1" t="s">
        <v>299</v>
      </c>
      <c r="C1" s="1"/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</row>
    <row r="2" spans="1:8" x14ac:dyDescent="0.2">
      <c r="A2" s="3" t="s">
        <v>41</v>
      </c>
      <c r="B2" s="3" t="s">
        <v>160</v>
      </c>
      <c r="C2" s="3" t="s">
        <v>75</v>
      </c>
      <c r="D2" s="102">
        <v>0</v>
      </c>
      <c r="E2" s="102">
        <v>0</v>
      </c>
      <c r="F2" s="106">
        <v>0.33500000000000002</v>
      </c>
      <c r="G2" s="106">
        <v>0.33500000000000002</v>
      </c>
      <c r="H2" s="106">
        <v>0.33500000000000002</v>
      </c>
    </row>
    <row r="3" spans="1:8" x14ac:dyDescent="0.2">
      <c r="C3" t="s">
        <v>49</v>
      </c>
      <c r="D3" s="102">
        <v>0</v>
      </c>
      <c r="E3" s="102">
        <v>0</v>
      </c>
      <c r="F3" s="106">
        <v>0.3</v>
      </c>
      <c r="G3" s="106">
        <v>0.3</v>
      </c>
      <c r="H3" s="106">
        <v>0.3</v>
      </c>
    </row>
    <row r="4" spans="1:8" x14ac:dyDescent="0.2">
      <c r="A4" s="3"/>
      <c r="B4" s="3"/>
      <c r="C4" s="3" t="s">
        <v>50</v>
      </c>
      <c r="D4" s="102">
        <v>0</v>
      </c>
      <c r="E4" s="102">
        <v>0</v>
      </c>
      <c r="F4" s="106">
        <v>0.62</v>
      </c>
      <c r="G4" s="106">
        <v>0.62</v>
      </c>
      <c r="H4" s="106">
        <v>0.62</v>
      </c>
    </row>
    <row r="5" spans="1:8" x14ac:dyDescent="0.2">
      <c r="A5" s="3" t="s">
        <v>94</v>
      </c>
      <c r="B5" s="3" t="s">
        <v>113</v>
      </c>
      <c r="C5" s="3" t="s">
        <v>75</v>
      </c>
      <c r="D5" s="102">
        <v>0</v>
      </c>
      <c r="E5" s="102">
        <v>0</v>
      </c>
      <c r="F5" s="106">
        <v>0.33500000000000002</v>
      </c>
      <c r="G5" s="106">
        <v>0.33500000000000002</v>
      </c>
      <c r="H5" s="106">
        <v>0.33500000000000002</v>
      </c>
    </row>
    <row r="6" spans="1:8" x14ac:dyDescent="0.2">
      <c r="C6" s="3" t="s">
        <v>50</v>
      </c>
      <c r="D6" s="102">
        <v>0</v>
      </c>
      <c r="E6" s="102">
        <v>0</v>
      </c>
      <c r="F6" s="106">
        <v>0.62</v>
      </c>
      <c r="G6" s="106">
        <v>0.62</v>
      </c>
      <c r="H6" s="106">
        <v>0.62</v>
      </c>
    </row>
    <row r="7" spans="1:8" x14ac:dyDescent="0.2">
      <c r="B7" t="s">
        <v>112</v>
      </c>
      <c r="C7" s="3" t="s">
        <v>75</v>
      </c>
      <c r="D7" s="102">
        <v>0</v>
      </c>
      <c r="E7" s="102">
        <v>0</v>
      </c>
      <c r="F7" s="106">
        <v>0.33500000000000002</v>
      </c>
      <c r="G7" s="106">
        <v>0.33500000000000002</v>
      </c>
      <c r="H7" s="106">
        <v>0.33500000000000002</v>
      </c>
    </row>
    <row r="8" spans="1:8" x14ac:dyDescent="0.2">
      <c r="C8" s="3" t="s">
        <v>50</v>
      </c>
      <c r="D8" s="102">
        <v>0</v>
      </c>
      <c r="E8" s="102">
        <v>0</v>
      </c>
      <c r="F8" s="106">
        <v>0.62</v>
      </c>
      <c r="G8" s="106">
        <v>0.62</v>
      </c>
      <c r="H8" s="106">
        <v>0.62</v>
      </c>
    </row>
    <row r="9" spans="1:8" x14ac:dyDescent="0.2">
      <c r="A9" s="3" t="s">
        <v>290</v>
      </c>
      <c r="B9" s="3" t="s">
        <v>113</v>
      </c>
      <c r="C9" s="3" t="s">
        <v>75</v>
      </c>
      <c r="D9" s="102">
        <v>0</v>
      </c>
      <c r="E9" s="102">
        <v>0</v>
      </c>
      <c r="F9" s="106">
        <v>0.33500000000000002</v>
      </c>
      <c r="G9" s="106">
        <v>0.33500000000000002</v>
      </c>
      <c r="H9" s="106">
        <v>0.33500000000000002</v>
      </c>
    </row>
    <row r="10" spans="1:8" x14ac:dyDescent="0.2">
      <c r="C10" s="3" t="s">
        <v>50</v>
      </c>
      <c r="D10" s="102">
        <v>0</v>
      </c>
      <c r="E10" s="102">
        <v>0</v>
      </c>
      <c r="F10" s="106">
        <v>0.62</v>
      </c>
      <c r="G10" s="106">
        <v>0.62</v>
      </c>
      <c r="H10" s="106">
        <v>0.62</v>
      </c>
    </row>
    <row r="11" spans="1:8" x14ac:dyDescent="0.2">
      <c r="B11" t="s">
        <v>112</v>
      </c>
      <c r="C11" s="3" t="s">
        <v>75</v>
      </c>
      <c r="D11" s="102">
        <v>0</v>
      </c>
      <c r="E11" s="102">
        <v>0</v>
      </c>
      <c r="F11" s="106">
        <v>0.33500000000000002</v>
      </c>
      <c r="G11" s="106">
        <v>0.33500000000000002</v>
      </c>
      <c r="H11" s="106">
        <v>0.33500000000000002</v>
      </c>
    </row>
    <row r="12" spans="1:8" x14ac:dyDescent="0.2">
      <c r="C12" s="3" t="s">
        <v>50</v>
      </c>
      <c r="D12" s="102">
        <v>0</v>
      </c>
      <c r="E12" s="102">
        <v>0</v>
      </c>
      <c r="F12" s="106">
        <v>0.62</v>
      </c>
      <c r="G12" s="106">
        <v>0.62</v>
      </c>
      <c r="H12" s="106">
        <v>0.62</v>
      </c>
    </row>
    <row r="13" spans="1:8" x14ac:dyDescent="0.2">
      <c r="A13" s="3" t="s">
        <v>291</v>
      </c>
      <c r="B13" s="3" t="s">
        <v>113</v>
      </c>
      <c r="C13" s="3" t="s">
        <v>75</v>
      </c>
      <c r="D13" s="102">
        <v>0</v>
      </c>
      <c r="E13" s="102">
        <v>0</v>
      </c>
      <c r="F13" s="106">
        <v>0.33500000000000002</v>
      </c>
      <c r="G13" s="106">
        <v>0.33500000000000002</v>
      </c>
      <c r="H13" s="106">
        <v>0.33500000000000002</v>
      </c>
    </row>
    <row r="14" spans="1:8" x14ac:dyDescent="0.2">
      <c r="C14" s="3" t="s">
        <v>50</v>
      </c>
      <c r="D14" s="102">
        <v>0</v>
      </c>
      <c r="E14" s="102">
        <v>0</v>
      </c>
      <c r="F14" s="106">
        <v>0.62</v>
      </c>
      <c r="G14" s="106">
        <v>0.62</v>
      </c>
      <c r="H14" s="106">
        <v>0.62</v>
      </c>
    </row>
    <row r="15" spans="1:8" x14ac:dyDescent="0.2">
      <c r="B15" t="s">
        <v>112</v>
      </c>
      <c r="C15" s="3" t="s">
        <v>75</v>
      </c>
      <c r="D15" s="102">
        <v>0</v>
      </c>
      <c r="E15" s="102">
        <v>0</v>
      </c>
      <c r="F15" s="106">
        <v>0.33500000000000002</v>
      </c>
      <c r="G15" s="106">
        <v>0.33500000000000002</v>
      </c>
      <c r="H15" s="106">
        <v>0.33500000000000002</v>
      </c>
    </row>
    <row r="16" spans="1:8" x14ac:dyDescent="0.2">
      <c r="C16" s="3" t="s">
        <v>50</v>
      </c>
      <c r="D16" s="102">
        <v>0</v>
      </c>
      <c r="E16" s="102">
        <v>0</v>
      </c>
      <c r="F16" s="106">
        <v>0.62</v>
      </c>
      <c r="G16" s="106">
        <v>0.62</v>
      </c>
      <c r="H16" s="106">
        <v>0.62</v>
      </c>
    </row>
    <row r="17" spans="1:9" x14ac:dyDescent="0.2">
      <c r="A17" t="s">
        <v>108</v>
      </c>
      <c r="B17" t="s">
        <v>113</v>
      </c>
      <c r="C17" s="3" t="s">
        <v>75</v>
      </c>
      <c r="D17" s="102">
        <v>0</v>
      </c>
      <c r="E17" s="102">
        <v>0</v>
      </c>
      <c r="F17" s="106">
        <v>0.33500000000000002</v>
      </c>
      <c r="G17" s="106">
        <v>0.33500000000000002</v>
      </c>
      <c r="H17" s="106">
        <v>0.33500000000000002</v>
      </c>
    </row>
    <row r="18" spans="1:9" x14ac:dyDescent="0.2">
      <c r="C18" s="3" t="s">
        <v>50</v>
      </c>
      <c r="D18" s="102">
        <v>0</v>
      </c>
      <c r="E18" s="102">
        <v>0</v>
      </c>
      <c r="F18" s="106">
        <v>0.7</v>
      </c>
      <c r="G18" s="106">
        <v>0.62</v>
      </c>
      <c r="H18" s="106">
        <v>0.62</v>
      </c>
      <c r="I18" s="8"/>
    </row>
    <row r="19" spans="1:9" x14ac:dyDescent="0.2">
      <c r="B19" t="s">
        <v>112</v>
      </c>
      <c r="C19" s="3" t="s">
        <v>75</v>
      </c>
      <c r="D19" s="102">
        <v>0</v>
      </c>
      <c r="E19" s="102">
        <v>0</v>
      </c>
      <c r="F19" s="106">
        <v>0.33500000000000002</v>
      </c>
      <c r="G19" s="106">
        <v>0.33500000000000002</v>
      </c>
      <c r="H19" s="106">
        <v>0.33500000000000002</v>
      </c>
      <c r="I19" s="8"/>
    </row>
    <row r="20" spans="1:9" x14ac:dyDescent="0.2">
      <c r="C20" s="3" t="s">
        <v>50</v>
      </c>
      <c r="D20" s="102">
        <v>0</v>
      </c>
      <c r="E20" s="102">
        <v>0</v>
      </c>
      <c r="F20" s="106">
        <v>0.84</v>
      </c>
      <c r="G20" s="106">
        <v>0.62</v>
      </c>
      <c r="H20" s="106">
        <v>0.62</v>
      </c>
      <c r="I20" s="8"/>
    </row>
    <row r="21" spans="1:9" x14ac:dyDescent="0.2">
      <c r="A21" s="9" t="s">
        <v>109</v>
      </c>
      <c r="B21" t="s">
        <v>37</v>
      </c>
      <c r="C21" s="3" t="s">
        <v>75</v>
      </c>
      <c r="D21" s="106">
        <v>0.7</v>
      </c>
      <c r="E21" s="102">
        <v>0</v>
      </c>
      <c r="F21" s="102">
        <v>0</v>
      </c>
      <c r="G21" s="102">
        <v>0</v>
      </c>
      <c r="H21" s="102">
        <v>0</v>
      </c>
      <c r="I21" s="8"/>
    </row>
    <row r="22" spans="1:9" x14ac:dyDescent="0.2">
      <c r="A22" s="9"/>
      <c r="C22" t="s">
        <v>49</v>
      </c>
      <c r="D22" s="106">
        <v>0.46</v>
      </c>
      <c r="E22" s="102">
        <v>0</v>
      </c>
      <c r="F22" s="102">
        <v>0</v>
      </c>
      <c r="G22" s="102">
        <v>0</v>
      </c>
      <c r="H22" s="102">
        <v>0</v>
      </c>
      <c r="I22" s="8"/>
    </row>
    <row r="23" spans="1:9" x14ac:dyDescent="0.2">
      <c r="A23" s="9" t="s">
        <v>110</v>
      </c>
      <c r="B23" t="s">
        <v>37</v>
      </c>
      <c r="C23" s="3" t="s">
        <v>75</v>
      </c>
      <c r="D23" s="106">
        <v>0.7</v>
      </c>
      <c r="E23" s="102">
        <v>0</v>
      </c>
      <c r="F23" s="102">
        <v>0</v>
      </c>
      <c r="G23" s="102">
        <v>0</v>
      </c>
      <c r="H23" s="102">
        <v>0</v>
      </c>
    </row>
    <row r="24" spans="1:9" x14ac:dyDescent="0.2">
      <c r="A24" s="9"/>
      <c r="C24" t="s">
        <v>49</v>
      </c>
      <c r="D24" s="106">
        <v>0.46</v>
      </c>
      <c r="E24" s="102">
        <v>0</v>
      </c>
      <c r="F24" s="102">
        <v>0</v>
      </c>
      <c r="G24" s="102">
        <v>0</v>
      </c>
      <c r="H24" s="102">
        <v>0</v>
      </c>
    </row>
    <row r="25" spans="1:9" x14ac:dyDescent="0.2">
      <c r="A25" s="9" t="s">
        <v>111</v>
      </c>
      <c r="B25" t="s">
        <v>37</v>
      </c>
      <c r="C25" s="3" t="s">
        <v>75</v>
      </c>
      <c r="D25" s="106">
        <v>0.7</v>
      </c>
      <c r="E25" s="102">
        <v>0</v>
      </c>
      <c r="F25" s="102">
        <v>0</v>
      </c>
      <c r="G25" s="102">
        <v>0</v>
      </c>
      <c r="H25" s="102">
        <v>0</v>
      </c>
    </row>
    <row r="26" spans="1:9" x14ac:dyDescent="0.2">
      <c r="C26" t="s">
        <v>49</v>
      </c>
      <c r="D26" s="106">
        <v>0.46</v>
      </c>
      <c r="E26" s="102">
        <v>0</v>
      </c>
      <c r="F26" s="102">
        <v>0</v>
      </c>
      <c r="G26" s="102">
        <v>0</v>
      </c>
      <c r="H26" s="102">
        <v>0</v>
      </c>
    </row>
    <row r="27" spans="1:9" x14ac:dyDescent="0.2">
      <c r="A27" t="s">
        <v>186</v>
      </c>
      <c r="B27" s="3" t="s">
        <v>160</v>
      </c>
      <c r="C27" s="3" t="s">
        <v>75</v>
      </c>
      <c r="D27" s="106">
        <v>1</v>
      </c>
      <c r="E27" s="106">
        <v>1</v>
      </c>
      <c r="F27" s="106">
        <v>1</v>
      </c>
      <c r="G27" s="106">
        <v>1</v>
      </c>
      <c r="H27" s="106">
        <v>1</v>
      </c>
    </row>
    <row r="28" spans="1:9" x14ac:dyDescent="0.2">
      <c r="C28" t="s">
        <v>49</v>
      </c>
      <c r="D28" s="106">
        <v>0.17</v>
      </c>
      <c r="E28" s="106">
        <v>0.17</v>
      </c>
      <c r="F28" s="106">
        <v>0.17</v>
      </c>
      <c r="G28" s="106">
        <v>0.17</v>
      </c>
      <c r="H28" s="106">
        <v>0.17</v>
      </c>
    </row>
    <row r="29" spans="1:9" x14ac:dyDescent="0.2">
      <c r="B29" s="3"/>
      <c r="C29" s="3" t="s">
        <v>50</v>
      </c>
      <c r="D29" s="106">
        <v>0.17</v>
      </c>
      <c r="E29" s="106">
        <v>0.17</v>
      </c>
      <c r="F29" s="106">
        <v>0.17</v>
      </c>
      <c r="G29" s="106">
        <v>0.17</v>
      </c>
      <c r="H29" s="106">
        <v>0.17</v>
      </c>
    </row>
    <row r="30" spans="1:9" x14ac:dyDescent="0.2">
      <c r="A30" t="s">
        <v>187</v>
      </c>
      <c r="B30" s="3" t="s">
        <v>160</v>
      </c>
      <c r="C30" s="3" t="s">
        <v>75</v>
      </c>
      <c r="D30" s="106">
        <v>1</v>
      </c>
      <c r="E30" s="106">
        <v>1</v>
      </c>
      <c r="F30" s="106">
        <v>1</v>
      </c>
      <c r="G30" s="106">
        <v>1</v>
      </c>
      <c r="H30" s="106">
        <v>1</v>
      </c>
    </row>
    <row r="31" spans="1:9" x14ac:dyDescent="0.2">
      <c r="C31" t="s">
        <v>49</v>
      </c>
      <c r="D31" s="106">
        <v>0.69</v>
      </c>
      <c r="E31" s="106">
        <v>0.69</v>
      </c>
      <c r="F31" s="106">
        <v>0.69</v>
      </c>
      <c r="G31" s="106">
        <v>0.69</v>
      </c>
      <c r="H31" s="106">
        <v>0.69</v>
      </c>
    </row>
    <row r="32" spans="1:9" x14ac:dyDescent="0.2">
      <c r="B32" s="3"/>
      <c r="C32" s="3" t="s">
        <v>50</v>
      </c>
      <c r="D32" s="106">
        <v>0.69</v>
      </c>
      <c r="E32" s="106">
        <v>0.69</v>
      </c>
      <c r="F32" s="106">
        <v>0.69</v>
      </c>
      <c r="G32" s="106">
        <v>0.69</v>
      </c>
      <c r="H32" s="106">
        <v>0.69</v>
      </c>
    </row>
    <row r="33" spans="1:8" x14ac:dyDescent="0.2">
      <c r="A33" t="s">
        <v>188</v>
      </c>
      <c r="B33" s="3" t="s">
        <v>160</v>
      </c>
      <c r="C33" s="3" t="s">
        <v>75</v>
      </c>
      <c r="D33" s="106">
        <v>1</v>
      </c>
      <c r="E33" s="106">
        <v>1</v>
      </c>
      <c r="F33" s="106">
        <v>1</v>
      </c>
      <c r="G33" s="106">
        <v>1</v>
      </c>
      <c r="H33" s="106">
        <v>1</v>
      </c>
    </row>
    <row r="34" spans="1:8" x14ac:dyDescent="0.2">
      <c r="C34" t="s">
        <v>49</v>
      </c>
      <c r="D34" s="106">
        <v>0.36</v>
      </c>
      <c r="E34" s="106">
        <v>0.36</v>
      </c>
      <c r="F34" s="106">
        <v>0.36</v>
      </c>
      <c r="G34" s="106">
        <v>0.36</v>
      </c>
      <c r="H34" s="106">
        <v>0.36</v>
      </c>
    </row>
    <row r="35" spans="1:8" x14ac:dyDescent="0.2">
      <c r="B35" s="3"/>
      <c r="C35" s="3" t="s">
        <v>50</v>
      </c>
      <c r="D35" s="106">
        <v>0.36</v>
      </c>
      <c r="E35" s="106">
        <v>0.36</v>
      </c>
      <c r="F35" s="106">
        <v>0.36</v>
      </c>
      <c r="G35" s="106">
        <v>0.36</v>
      </c>
      <c r="H35" s="106">
        <v>0.36</v>
      </c>
    </row>
    <row r="36" spans="1:8" x14ac:dyDescent="0.2">
      <c r="A36" t="s">
        <v>189</v>
      </c>
      <c r="B36" s="3" t="s">
        <v>160</v>
      </c>
      <c r="C36" s="3" t="s">
        <v>75</v>
      </c>
      <c r="D36" s="106">
        <v>1</v>
      </c>
      <c r="E36" s="106">
        <v>1</v>
      </c>
      <c r="F36" s="106">
        <v>1</v>
      </c>
      <c r="G36" s="106">
        <v>1</v>
      </c>
      <c r="H36" s="106">
        <v>1</v>
      </c>
    </row>
    <row r="37" spans="1:8" x14ac:dyDescent="0.2">
      <c r="C37" t="s">
        <v>49</v>
      </c>
      <c r="D37" s="106">
        <v>0.2</v>
      </c>
      <c r="E37" s="106">
        <v>0.2</v>
      </c>
      <c r="F37" s="106">
        <v>0.2</v>
      </c>
      <c r="G37" s="106">
        <v>0.2</v>
      </c>
      <c r="H37" s="106">
        <v>0.2</v>
      </c>
    </row>
    <row r="38" spans="1:8" x14ac:dyDescent="0.2">
      <c r="B38" s="3"/>
      <c r="C38" s="3" t="s">
        <v>50</v>
      </c>
      <c r="D38" s="106">
        <v>0.2</v>
      </c>
      <c r="E38" s="106">
        <v>0.2</v>
      </c>
      <c r="F38" s="106">
        <v>0.2</v>
      </c>
      <c r="G38" s="106">
        <v>0.2</v>
      </c>
      <c r="H38" s="106">
        <v>0.2</v>
      </c>
    </row>
    <row r="39" spans="1:8" x14ac:dyDescent="0.2">
      <c r="A39" t="s">
        <v>190</v>
      </c>
      <c r="B39" s="3" t="s">
        <v>160</v>
      </c>
      <c r="C39" s="3" t="s">
        <v>75</v>
      </c>
      <c r="D39" s="106">
        <v>1</v>
      </c>
      <c r="E39" s="106">
        <v>1</v>
      </c>
      <c r="F39" s="106">
        <v>1</v>
      </c>
      <c r="G39" s="106">
        <v>1</v>
      </c>
      <c r="H39" s="106">
        <v>1</v>
      </c>
    </row>
    <row r="40" spans="1:8" x14ac:dyDescent="0.2">
      <c r="C40" t="s">
        <v>49</v>
      </c>
      <c r="D40" s="106">
        <v>0.48</v>
      </c>
      <c r="E40" s="106">
        <v>0.48</v>
      </c>
      <c r="F40" s="106">
        <v>0.48</v>
      </c>
      <c r="G40" s="106">
        <v>0.48</v>
      </c>
      <c r="H40" s="106">
        <v>0.48</v>
      </c>
    </row>
    <row r="41" spans="1:8" x14ac:dyDescent="0.2">
      <c r="B41" s="3"/>
      <c r="C41" s="3" t="s">
        <v>50</v>
      </c>
      <c r="D41" s="106">
        <v>0.48</v>
      </c>
      <c r="E41" s="106">
        <v>0.48</v>
      </c>
      <c r="F41" s="106">
        <v>0.48</v>
      </c>
      <c r="G41" s="106">
        <v>0.48</v>
      </c>
      <c r="H41" s="106">
        <v>0.48</v>
      </c>
    </row>
    <row r="42" spans="1:8" x14ac:dyDescent="0.2">
      <c r="A42" t="s">
        <v>105</v>
      </c>
      <c r="B42" s="3" t="s">
        <v>160</v>
      </c>
      <c r="C42" s="3" t="s">
        <v>75</v>
      </c>
      <c r="D42" s="106">
        <v>0.3</v>
      </c>
      <c r="E42" s="106">
        <v>0.3</v>
      </c>
      <c r="F42" s="106">
        <v>0.3</v>
      </c>
      <c r="G42" s="106">
        <v>0.3</v>
      </c>
      <c r="H42" s="106">
        <v>0.3</v>
      </c>
    </row>
    <row r="43" spans="1:8" x14ac:dyDescent="0.2">
      <c r="C43" t="s">
        <v>49</v>
      </c>
      <c r="D43" s="106">
        <v>0.5</v>
      </c>
      <c r="E43" s="106">
        <v>0.5</v>
      </c>
      <c r="F43" s="106">
        <v>0.5</v>
      </c>
      <c r="G43" s="106">
        <v>0.5</v>
      </c>
      <c r="H43" s="106">
        <v>0.5</v>
      </c>
    </row>
    <row r="44" spans="1:8" x14ac:dyDescent="0.2">
      <c r="C44" s="3" t="s">
        <v>50</v>
      </c>
      <c r="D44" s="106">
        <v>0.65</v>
      </c>
      <c r="E44" s="106">
        <v>0.65</v>
      </c>
      <c r="F44" s="106">
        <v>0.65</v>
      </c>
      <c r="G44" s="106">
        <v>0.65</v>
      </c>
      <c r="H44" s="106">
        <v>0.65</v>
      </c>
    </row>
    <row r="45" spans="1:8" x14ac:dyDescent="0.2">
      <c r="B45" s="3" t="s">
        <v>22</v>
      </c>
      <c r="C45" s="3" t="s">
        <v>75</v>
      </c>
      <c r="D45" s="106">
        <v>1</v>
      </c>
      <c r="E45" s="106">
        <v>1</v>
      </c>
      <c r="F45" s="106">
        <v>1</v>
      </c>
      <c r="G45" s="106">
        <v>1</v>
      </c>
      <c r="H45" s="106">
        <v>1</v>
      </c>
    </row>
    <row r="46" spans="1:8" x14ac:dyDescent="0.2">
      <c r="C46" t="s">
        <v>49</v>
      </c>
      <c r="D46" s="106">
        <v>0.49</v>
      </c>
      <c r="E46" s="106">
        <v>0.49</v>
      </c>
      <c r="F46" s="106">
        <v>0.49</v>
      </c>
      <c r="G46" s="106">
        <v>0.49</v>
      </c>
      <c r="H46" s="106">
        <v>0.49</v>
      </c>
    </row>
    <row r="47" spans="1:8" x14ac:dyDescent="0.2">
      <c r="C47" s="3" t="s">
        <v>50</v>
      </c>
      <c r="D47" s="106">
        <v>0.52</v>
      </c>
      <c r="E47" s="106">
        <v>0.52</v>
      </c>
      <c r="F47" s="106">
        <v>0.52</v>
      </c>
      <c r="G47" s="106">
        <v>0.52</v>
      </c>
      <c r="H47" s="106">
        <v>0.52</v>
      </c>
    </row>
    <row r="48" spans="1:8" x14ac:dyDescent="0.2">
      <c r="A48" t="s">
        <v>191</v>
      </c>
      <c r="B48" s="3" t="s">
        <v>160</v>
      </c>
      <c r="C48" s="3" t="s">
        <v>75</v>
      </c>
      <c r="D48" s="106">
        <v>0.88</v>
      </c>
      <c r="E48" s="106">
        <v>0.88</v>
      </c>
      <c r="F48" s="106">
        <v>0.88</v>
      </c>
      <c r="G48" s="106">
        <v>0.88</v>
      </c>
      <c r="H48" s="106">
        <v>0.88</v>
      </c>
    </row>
    <row r="49" spans="1:8" x14ac:dyDescent="0.2">
      <c r="C49" t="s">
        <v>49</v>
      </c>
      <c r="D49" s="106">
        <v>0.93</v>
      </c>
      <c r="E49" s="106">
        <v>0.93</v>
      </c>
      <c r="F49" s="106">
        <v>0.93</v>
      </c>
      <c r="G49" s="106">
        <v>0.93</v>
      </c>
      <c r="H49" s="106">
        <v>0.93</v>
      </c>
    </row>
    <row r="50" spans="1:8" x14ac:dyDescent="0.2">
      <c r="A50" t="s">
        <v>192</v>
      </c>
      <c r="B50" s="3" t="s">
        <v>160</v>
      </c>
      <c r="C50" s="3" t="s">
        <v>75</v>
      </c>
      <c r="D50" s="106">
        <v>1</v>
      </c>
      <c r="E50" s="106">
        <v>1</v>
      </c>
      <c r="F50" s="106">
        <v>1</v>
      </c>
      <c r="G50" s="106">
        <v>1</v>
      </c>
      <c r="H50" s="106">
        <v>1</v>
      </c>
    </row>
    <row r="51" spans="1:8" x14ac:dyDescent="0.2">
      <c r="C51" t="s">
        <v>49</v>
      </c>
      <c r="D51" s="106">
        <v>0.86</v>
      </c>
      <c r="E51" s="106">
        <v>0.86</v>
      </c>
      <c r="F51" s="106">
        <v>0.86</v>
      </c>
      <c r="G51" s="106">
        <v>0.86</v>
      </c>
      <c r="H51" s="106">
        <v>0.86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11"/>
  <sheetViews>
    <sheetView workbookViewId="0">
      <selection activeCell="L50" sqref="L50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7" t="s">
        <v>138</v>
      </c>
      <c r="B1" s="7" t="s">
        <v>139</v>
      </c>
      <c r="C1" s="7" t="s">
        <v>6</v>
      </c>
      <c r="D1" s="7" t="s">
        <v>144</v>
      </c>
      <c r="E1" s="7" t="s">
        <v>146</v>
      </c>
    </row>
    <row r="2" spans="1:5" ht="14.25" x14ac:dyDescent="0.2">
      <c r="A2" s="35" t="s">
        <v>129</v>
      </c>
      <c r="B2" s="36">
        <v>0.9</v>
      </c>
      <c r="C2" s="39">
        <v>0.09</v>
      </c>
      <c r="D2">
        <v>0.8</v>
      </c>
      <c r="E2">
        <f>C2*D2</f>
        <v>7.1999999999999995E-2</v>
      </c>
    </row>
    <row r="3" spans="1:5" ht="14.25" x14ac:dyDescent="0.2">
      <c r="A3" s="35" t="s">
        <v>130</v>
      </c>
      <c r="B3" s="36">
        <v>1</v>
      </c>
      <c r="C3" s="39">
        <v>0.02</v>
      </c>
      <c r="D3">
        <v>1.9</v>
      </c>
      <c r="E3">
        <f t="shared" ref="E3:E10" si="0">C3*D3</f>
        <v>3.7999999999999999E-2</v>
      </c>
    </row>
    <row r="4" spans="1:5" ht="14.25" x14ac:dyDescent="0.2">
      <c r="A4" s="35" t="s">
        <v>131</v>
      </c>
      <c r="B4" s="36">
        <v>1</v>
      </c>
      <c r="C4" s="39">
        <v>0.08</v>
      </c>
      <c r="D4">
        <v>2</v>
      </c>
      <c r="E4">
        <f t="shared" si="0"/>
        <v>0.16</v>
      </c>
    </row>
    <row r="5" spans="1:5" ht="14.25" x14ac:dyDescent="0.2">
      <c r="A5" s="35" t="s">
        <v>134</v>
      </c>
      <c r="B5" s="36">
        <v>1</v>
      </c>
      <c r="C5" s="39">
        <v>0.18</v>
      </c>
      <c r="D5">
        <v>0.7</v>
      </c>
      <c r="E5">
        <f t="shared" si="0"/>
        <v>0.126</v>
      </c>
    </row>
    <row r="6" spans="1:5" ht="14.25" x14ac:dyDescent="0.2">
      <c r="A6" s="35" t="s">
        <v>135</v>
      </c>
      <c r="B6" s="36">
        <v>1</v>
      </c>
      <c r="C6" s="39">
        <v>0.02</v>
      </c>
      <c r="D6">
        <v>0.7</v>
      </c>
      <c r="E6">
        <f t="shared" si="0"/>
        <v>1.3999999999999999E-2</v>
      </c>
    </row>
    <row r="7" spans="1:5" ht="14.25" x14ac:dyDescent="0.2">
      <c r="A7" s="35" t="s">
        <v>132</v>
      </c>
      <c r="B7" s="36">
        <v>0.93</v>
      </c>
      <c r="C7" s="39">
        <v>0.45</v>
      </c>
      <c r="D7">
        <v>0.9</v>
      </c>
      <c r="E7">
        <f t="shared" si="0"/>
        <v>0.40500000000000003</v>
      </c>
    </row>
    <row r="8" spans="1:5" ht="14.25" x14ac:dyDescent="0.2">
      <c r="A8" s="35" t="s">
        <v>133</v>
      </c>
      <c r="B8" s="36">
        <v>0.5</v>
      </c>
      <c r="C8" s="39">
        <v>0.03</v>
      </c>
      <c r="D8">
        <v>0</v>
      </c>
      <c r="E8">
        <f t="shared" si="0"/>
        <v>0</v>
      </c>
    </row>
    <row r="9" spans="1:5" ht="14.25" x14ac:dyDescent="0.2">
      <c r="A9" s="35" t="s">
        <v>136</v>
      </c>
      <c r="B9" s="36">
        <v>0.5</v>
      </c>
      <c r="C9" s="39">
        <v>0.11</v>
      </c>
      <c r="D9">
        <v>0</v>
      </c>
      <c r="E9">
        <f t="shared" si="0"/>
        <v>0</v>
      </c>
    </row>
    <row r="10" spans="1:5" ht="14.25" x14ac:dyDescent="0.2">
      <c r="A10" s="35" t="s">
        <v>137</v>
      </c>
      <c r="B10" s="36">
        <v>0.98</v>
      </c>
      <c r="C10" s="39">
        <v>0.01</v>
      </c>
      <c r="D10">
        <v>0.6</v>
      </c>
      <c r="E10">
        <f t="shared" si="0"/>
        <v>6.0000000000000001E-3</v>
      </c>
    </row>
    <row r="11" spans="1:5" x14ac:dyDescent="0.2">
      <c r="C11" s="8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"/>
  <sheetViews>
    <sheetView workbookViewId="0">
      <selection activeCell="P32" sqref="P32"/>
    </sheetView>
  </sheetViews>
  <sheetFormatPr defaultColWidth="11.42578125" defaultRowHeight="12.75" x14ac:dyDescent="0.2"/>
  <cols>
    <col min="1" max="1" width="25.140625" customWidth="1"/>
    <col min="2" max="2" width="24.7109375" customWidth="1"/>
    <col min="3" max="3" width="21.28515625" customWidth="1"/>
    <col min="4" max="7" width="15.5703125" customWidth="1"/>
  </cols>
  <sheetData>
    <row r="1" spans="1:8" x14ac:dyDescent="0.2">
      <c r="A1" s="1" t="s">
        <v>154</v>
      </c>
      <c r="B1" s="1" t="s">
        <v>299</v>
      </c>
      <c r="C1" s="1"/>
      <c r="D1" s="7" t="s">
        <v>82</v>
      </c>
      <c r="E1" s="7" t="s">
        <v>83</v>
      </c>
      <c r="F1" s="7" t="s">
        <v>84</v>
      </c>
      <c r="G1" s="7" t="s">
        <v>85</v>
      </c>
      <c r="H1" s="28"/>
    </row>
    <row r="2" spans="1:8" x14ac:dyDescent="0.2">
      <c r="A2" s="3" t="s">
        <v>193</v>
      </c>
      <c r="B2" t="s">
        <v>66</v>
      </c>
      <c r="C2" s="3" t="s">
        <v>75</v>
      </c>
      <c r="D2" s="102">
        <v>1</v>
      </c>
      <c r="E2" s="102">
        <v>1</v>
      </c>
      <c r="F2" s="102">
        <v>1</v>
      </c>
      <c r="G2" s="102">
        <v>1</v>
      </c>
      <c r="H2" s="64"/>
    </row>
    <row r="3" spans="1:8" x14ac:dyDescent="0.2">
      <c r="C3" t="s">
        <v>49</v>
      </c>
      <c r="D3" s="106">
        <v>0.2</v>
      </c>
      <c r="E3" s="106">
        <v>0.2</v>
      </c>
      <c r="F3" s="106">
        <v>0.2</v>
      </c>
      <c r="G3" s="106">
        <v>0.2</v>
      </c>
      <c r="H3" s="9"/>
    </row>
    <row r="4" spans="1:8" x14ac:dyDescent="0.2">
      <c r="A4" s="3" t="s">
        <v>194</v>
      </c>
      <c r="B4" t="s">
        <v>66</v>
      </c>
      <c r="C4" s="3" t="s">
        <v>75</v>
      </c>
      <c r="D4" s="102">
        <v>1</v>
      </c>
      <c r="E4" s="102">
        <v>1</v>
      </c>
      <c r="F4" s="102">
        <v>1</v>
      </c>
      <c r="G4" s="102">
        <v>1</v>
      </c>
      <c r="H4" s="9"/>
    </row>
    <row r="5" spans="1:8" x14ac:dyDescent="0.2">
      <c r="A5" s="8"/>
      <c r="C5" t="s">
        <v>49</v>
      </c>
      <c r="D5" s="106">
        <v>0.59</v>
      </c>
      <c r="E5" s="106">
        <v>0.59</v>
      </c>
      <c r="F5" s="106">
        <v>0.59</v>
      </c>
      <c r="G5" s="106">
        <v>0.59</v>
      </c>
      <c r="H5" s="64"/>
    </row>
    <row r="6" spans="1:8" x14ac:dyDescent="0.2">
      <c r="A6" s="3" t="s">
        <v>195</v>
      </c>
      <c r="B6" t="s">
        <v>66</v>
      </c>
      <c r="C6" s="3" t="s">
        <v>75</v>
      </c>
      <c r="D6" s="102">
        <v>1</v>
      </c>
      <c r="E6" s="102">
        <v>1</v>
      </c>
      <c r="F6" s="102">
        <v>1</v>
      </c>
      <c r="G6" s="102">
        <v>1</v>
      </c>
      <c r="H6" s="64"/>
    </row>
    <row r="7" spans="1:8" x14ac:dyDescent="0.2">
      <c r="A7" s="8"/>
      <c r="C7" t="s">
        <v>49</v>
      </c>
      <c r="D7" s="106">
        <v>0.6</v>
      </c>
      <c r="E7" s="106">
        <v>0.6</v>
      </c>
      <c r="F7" s="106">
        <v>0.6</v>
      </c>
      <c r="G7" s="106">
        <v>0.6</v>
      </c>
      <c r="H7" s="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F3"/>
  <sheetViews>
    <sheetView workbookViewId="0">
      <selection activeCell="A2" sqref="A2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154</v>
      </c>
      <c r="B1" s="65" t="s">
        <v>42</v>
      </c>
      <c r="C1" s="66" t="s">
        <v>170</v>
      </c>
      <c r="D1" s="66" t="s">
        <v>171</v>
      </c>
      <c r="E1" s="66" t="s">
        <v>172</v>
      </c>
      <c r="F1" s="1"/>
    </row>
    <row r="2" spans="1:6" x14ac:dyDescent="0.2">
      <c r="A2" t="s">
        <v>196</v>
      </c>
      <c r="B2" s="49" t="s">
        <v>44</v>
      </c>
      <c r="C2" s="67">
        <f>'Fertility risks'!C2</f>
        <v>0.15</v>
      </c>
      <c r="D2" s="67">
        <f>'Fertility risks'!C3</f>
        <v>0.03</v>
      </c>
      <c r="E2" s="67">
        <f>'Fertility risks'!C4</f>
        <v>0</v>
      </c>
      <c r="F2" s="6"/>
    </row>
    <row r="3" spans="1:6" x14ac:dyDescent="0.2">
      <c r="B3" s="49" t="s">
        <v>43</v>
      </c>
      <c r="C3" s="67">
        <v>0.8</v>
      </c>
      <c r="D3" s="67">
        <v>0.8</v>
      </c>
      <c r="E3" s="67">
        <v>0.8</v>
      </c>
      <c r="F3" s="6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7" zoomScale="85" zoomScaleNormal="118" workbookViewId="0">
      <selection activeCell="G25" sqref="G25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7" t="s">
        <v>54</v>
      </c>
      <c r="B1" s="1" t="s">
        <v>154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82</v>
      </c>
      <c r="I1" s="7" t="s">
        <v>83</v>
      </c>
      <c r="J1" s="7" t="s">
        <v>84</v>
      </c>
      <c r="K1" s="7" t="s">
        <v>85</v>
      </c>
      <c r="L1" s="7" t="s">
        <v>78</v>
      </c>
      <c r="M1" s="7" t="s">
        <v>79</v>
      </c>
      <c r="N1" s="7" t="s">
        <v>80</v>
      </c>
      <c r="O1" s="7" t="s">
        <v>81</v>
      </c>
    </row>
    <row r="2" spans="1:15" ht="15.75" customHeight="1" x14ac:dyDescent="0.2">
      <c r="A2" s="7" t="s">
        <v>52</v>
      </c>
      <c r="B2" s="64" t="s">
        <v>46</v>
      </c>
      <c r="C2" s="2">
        <v>1</v>
      </c>
      <c r="D2" s="2">
        <v>1</v>
      </c>
      <c r="E2" s="2">
        <v>0</v>
      </c>
      <c r="F2" s="2">
        <v>0</v>
      </c>
      <c r="G2" s="2">
        <v>0</v>
      </c>
      <c r="H2" s="2">
        <v>1</v>
      </c>
      <c r="I2" s="2">
        <v>1</v>
      </c>
      <c r="J2" s="2">
        <v>1</v>
      </c>
      <c r="K2" s="2">
        <v>1</v>
      </c>
      <c r="L2" s="2">
        <v>0</v>
      </c>
      <c r="M2" s="2">
        <v>0</v>
      </c>
      <c r="N2" s="2">
        <v>0</v>
      </c>
      <c r="O2" s="2">
        <v>0</v>
      </c>
    </row>
    <row r="3" spans="1:15" ht="15.75" customHeight="1" x14ac:dyDescent="0.2">
      <c r="A3" s="7"/>
      <c r="B3" s="64" t="s">
        <v>105</v>
      </c>
      <c r="C3" s="2">
        <v>0</v>
      </c>
      <c r="D3" s="2">
        <v>0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5.75" customHeight="1" x14ac:dyDescent="0.2">
      <c r="B4" s="64" t="s">
        <v>41</v>
      </c>
      <c r="C4" s="2">
        <v>0</v>
      </c>
      <c r="D4" s="2">
        <v>0</v>
      </c>
      <c r="E4" s="2">
        <v>1</v>
      </c>
      <c r="F4" s="2">
        <v>1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5.75" customHeight="1" x14ac:dyDescent="0.2">
      <c r="B5" s="64" t="s">
        <v>47</v>
      </c>
      <c r="C5" s="2">
        <v>0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5.75" customHeight="1" x14ac:dyDescent="0.2">
      <c r="B6" s="64" t="s">
        <v>94</v>
      </c>
      <c r="C6" s="2">
        <v>0</v>
      </c>
      <c r="D6" s="2">
        <v>0</v>
      </c>
      <c r="E6" s="15">
        <f>food_insecure</f>
        <v>0.36</v>
      </c>
      <c r="F6" s="15">
        <f>food_insecure</f>
        <v>0.36</v>
      </c>
      <c r="G6" s="15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5.75" customHeight="1" x14ac:dyDescent="0.2">
      <c r="B7" s="64" t="s">
        <v>290</v>
      </c>
      <c r="C7" s="2">
        <v>0</v>
      </c>
      <c r="D7" s="2">
        <v>0</v>
      </c>
      <c r="E7" s="15">
        <f>food_insecure*(1-frac_malaria_risk)</f>
        <v>0.32400000000000001</v>
      </c>
      <c r="F7" s="15">
        <f>food_insecure*(1-frac_malaria_risk)</f>
        <v>0.32400000000000001</v>
      </c>
      <c r="G7" s="15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5.75" customHeight="1" x14ac:dyDescent="0.2">
      <c r="B8" s="64" t="s">
        <v>291</v>
      </c>
      <c r="C8" s="2">
        <v>0</v>
      </c>
      <c r="D8" s="2">
        <v>0</v>
      </c>
      <c r="E8" s="15">
        <f>food_insecure*frac_malaria_risk</f>
        <v>3.5999999999999997E-2</v>
      </c>
      <c r="F8" s="15">
        <f>food_insecure*frac_malaria_risk</f>
        <v>3.5999999999999997E-2</v>
      </c>
      <c r="G8" s="15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ht="15.75" customHeight="1" x14ac:dyDescent="0.2">
      <c r="B9" s="64" t="s">
        <v>293</v>
      </c>
      <c r="C9" s="2">
        <v>0</v>
      </c>
      <c r="D9" s="2">
        <v>0</v>
      </c>
      <c r="E9" s="15">
        <f>(1-frac_malaria_risk)</f>
        <v>0.9</v>
      </c>
      <c r="F9" s="15">
        <f>(1-frac_malaria_risk)</f>
        <v>0.9</v>
      </c>
      <c r="G9" s="15">
        <f>(1-frac_malaria_risk)</f>
        <v>0.9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5.75" customHeight="1" x14ac:dyDescent="0.2">
      <c r="B10" s="64" t="s">
        <v>294</v>
      </c>
      <c r="C10" s="2">
        <v>0</v>
      </c>
      <c r="D10" s="2">
        <v>0</v>
      </c>
      <c r="E10" s="15">
        <f>frac_malaria_risk</f>
        <v>0.1</v>
      </c>
      <c r="F10" s="15">
        <f>frac_malaria_risk</f>
        <v>0.1</v>
      </c>
      <c r="G10" s="15">
        <f>frac_malaria_risk</f>
        <v>0.1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ht="15.75" customHeight="1" x14ac:dyDescent="0.2">
      <c r="B11" s="64" t="s">
        <v>108</v>
      </c>
      <c r="C11" s="68">
        <v>0</v>
      </c>
      <c r="D11" s="75">
        <f>food_insecure</f>
        <v>0.36</v>
      </c>
      <c r="E11" s="75">
        <f>food_insecure</f>
        <v>0.36</v>
      </c>
      <c r="F11" s="75">
        <f>food_insecure</f>
        <v>0.36</v>
      </c>
      <c r="G11" s="75">
        <f>food_insecure</f>
        <v>0.36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ht="15.75" customHeight="1" x14ac:dyDescent="0.2">
      <c r="B12" s="64" t="s">
        <v>114</v>
      </c>
      <c r="C12" s="68">
        <v>0</v>
      </c>
      <c r="D12" s="68">
        <v>1</v>
      </c>
      <c r="E12" s="68">
        <v>1</v>
      </c>
      <c r="F12" s="68">
        <v>1</v>
      </c>
      <c r="G12" s="68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 ht="15.75" customHeight="1" x14ac:dyDescent="0.2">
      <c r="B13" s="64" t="s">
        <v>115</v>
      </c>
      <c r="C13" s="68">
        <v>0</v>
      </c>
      <c r="D13" s="68">
        <v>1</v>
      </c>
      <c r="E13" s="68">
        <v>1</v>
      </c>
      <c r="F13" s="68">
        <v>1</v>
      </c>
      <c r="G13" s="68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 ht="15.75" customHeight="1" x14ac:dyDescent="0.2">
      <c r="B14" s="146"/>
    </row>
    <row r="15" spans="1:15" ht="15.75" customHeight="1" x14ac:dyDescent="0.2">
      <c r="A15" s="7" t="s">
        <v>53</v>
      </c>
      <c r="B15" s="146" t="s">
        <v>48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15">
        <f>food_insecure</f>
        <v>0.36</v>
      </c>
      <c r="I15" s="15">
        <f>food_insecure</f>
        <v>0.36</v>
      </c>
      <c r="J15" s="15">
        <f>food_insecure</f>
        <v>0.36</v>
      </c>
      <c r="K15" s="15">
        <f>food_insecure</f>
        <v>0.36</v>
      </c>
      <c r="L15" s="2">
        <v>0</v>
      </c>
      <c r="M15" s="2">
        <v>0</v>
      </c>
      <c r="N15" s="2">
        <v>0</v>
      </c>
      <c r="O15" s="2">
        <v>0</v>
      </c>
    </row>
    <row r="16" spans="1:15" ht="15.75" customHeight="1" x14ac:dyDescent="0.2">
      <c r="A16" s="7"/>
      <c r="B16" s="146" t="s">
        <v>102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f>1-frac_malaria_risk</f>
        <v>0.9</v>
      </c>
      <c r="I16" s="2">
        <f>1-frac_malaria_risk</f>
        <v>0.9</v>
      </c>
      <c r="J16" s="2">
        <f>1-frac_malaria_risk</f>
        <v>0.9</v>
      </c>
      <c r="K16" s="2">
        <f>1-frac_malaria_risk</f>
        <v>0.9</v>
      </c>
      <c r="L16" s="2">
        <v>0</v>
      </c>
      <c r="M16" s="2">
        <v>0</v>
      </c>
      <c r="N16" s="2">
        <v>0</v>
      </c>
      <c r="O16" s="2">
        <v>0</v>
      </c>
    </row>
    <row r="17" spans="1:15" ht="15.75" customHeight="1" x14ac:dyDescent="0.2">
      <c r="B17" s="146" t="s">
        <v>103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15">
        <f>frac_malaria_risk</f>
        <v>0.1</v>
      </c>
      <c r="I17" s="15">
        <f>frac_malaria_risk</f>
        <v>0.1</v>
      </c>
      <c r="J17" s="15">
        <f>frac_malaria_risk</f>
        <v>0.1</v>
      </c>
      <c r="K17" s="15">
        <f>frac_malaria_risk</f>
        <v>0.1</v>
      </c>
      <c r="L17" s="2">
        <v>0</v>
      </c>
      <c r="M17" s="2">
        <v>0</v>
      </c>
      <c r="N17" s="2">
        <v>0</v>
      </c>
      <c r="O17" s="2">
        <v>0</v>
      </c>
    </row>
    <row r="18" spans="1:15" ht="15.75" customHeight="1" x14ac:dyDescent="0.2">
      <c r="B18" s="64" t="s">
        <v>55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19">
        <f xml:space="preserve"> 1-frac_malaria_risk</f>
        <v>0.9</v>
      </c>
      <c r="I18" s="19">
        <f xml:space="preserve"> 1-frac_malaria_risk</f>
        <v>0.9</v>
      </c>
      <c r="J18" s="19">
        <f xml:space="preserve"> 1-frac_malaria_risk</f>
        <v>0.9</v>
      </c>
      <c r="K18" s="19">
        <f xml:space="preserve"> 1-frac_malaria_risk</f>
        <v>0.9</v>
      </c>
      <c r="L18" s="2">
        <v>0</v>
      </c>
      <c r="M18" s="2">
        <v>0</v>
      </c>
      <c r="N18" s="2">
        <v>0</v>
      </c>
      <c r="O18" s="2">
        <v>0</v>
      </c>
    </row>
    <row r="19" spans="1:15" ht="15.75" customHeight="1" x14ac:dyDescent="0.2">
      <c r="B19" s="64" t="s">
        <v>104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19">
        <f t="shared" ref="H19:K20" si="0">frac_malaria_risk</f>
        <v>0.1</v>
      </c>
      <c r="I19" s="19">
        <f t="shared" si="0"/>
        <v>0.1</v>
      </c>
      <c r="J19" s="19">
        <f t="shared" si="0"/>
        <v>0.1</v>
      </c>
      <c r="K19" s="19">
        <f t="shared" si="0"/>
        <v>0.1</v>
      </c>
      <c r="L19" s="2">
        <v>0</v>
      </c>
      <c r="M19" s="2">
        <v>0</v>
      </c>
      <c r="N19" s="2">
        <v>0</v>
      </c>
      <c r="O19" s="2">
        <v>0</v>
      </c>
    </row>
    <row r="20" spans="1:15" ht="15.75" customHeight="1" x14ac:dyDescent="0.2">
      <c r="B20" s="146" t="s">
        <v>86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9">
        <f t="shared" si="0"/>
        <v>0.1</v>
      </c>
      <c r="I20" s="19">
        <f t="shared" si="0"/>
        <v>0.1</v>
      </c>
      <c r="J20" s="19">
        <f t="shared" si="0"/>
        <v>0.1</v>
      </c>
      <c r="K20" s="19">
        <f t="shared" si="0"/>
        <v>0.1</v>
      </c>
      <c r="L20" s="2">
        <v>0</v>
      </c>
      <c r="M20" s="2">
        <v>0</v>
      </c>
      <c r="N20" s="2">
        <v>0</v>
      </c>
      <c r="O20" s="2">
        <v>0</v>
      </c>
    </row>
    <row r="21" spans="1:15" ht="15.75" customHeight="1" x14ac:dyDescent="0.2">
      <c r="B21" s="146"/>
    </row>
    <row r="22" spans="1:15" ht="15.75" customHeight="1" x14ac:dyDescent="0.2">
      <c r="A22" s="7" t="s">
        <v>62</v>
      </c>
      <c r="B22" s="146" t="s">
        <v>87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3">
        <v>0</v>
      </c>
      <c r="J22" s="23">
        <v>0</v>
      </c>
      <c r="K22" s="23">
        <v>0</v>
      </c>
      <c r="L22" s="15">
        <f>food_insecure*(1-frac_malaria_risk)*1*school_attendance</f>
        <v>0.114048</v>
      </c>
      <c r="M22" s="15">
        <v>0</v>
      </c>
      <c r="N22" s="15">
        <v>0</v>
      </c>
      <c r="O22" s="15">
        <v>0</v>
      </c>
    </row>
    <row r="23" spans="1:15" ht="15.75" customHeight="1" x14ac:dyDescent="0.2">
      <c r="B23" s="146" t="s">
        <v>88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3">
        <v>0</v>
      </c>
      <c r="J23" s="23">
        <v>0</v>
      </c>
      <c r="K23" s="23">
        <v>0</v>
      </c>
      <c r="L23" s="15">
        <f>food_insecure*(1-frac_malaria_risk)*(0.7)*(1-school_attendance)</f>
        <v>0.1469664</v>
      </c>
      <c r="M23" s="15">
        <f>food_insecure*(1-frac_malaria_risk)*(0.7)</f>
        <v>0.2268</v>
      </c>
      <c r="N23" s="15">
        <f>food_insecure*(1-frac_malaria_risk)*(0.7)</f>
        <v>0.2268</v>
      </c>
      <c r="O23" s="15">
        <f>food_insecure*(1-frac_malaria_risk)*(0.7)</f>
        <v>0.2268</v>
      </c>
    </row>
    <row r="24" spans="1:15" ht="15.75" customHeight="1" x14ac:dyDescent="0.2">
      <c r="B24" s="146" t="s">
        <v>89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3">
        <v>0</v>
      </c>
      <c r="J24" s="23">
        <v>0</v>
      </c>
      <c r="K24" s="23">
        <v>0</v>
      </c>
      <c r="L24" s="15">
        <f>food_insecure*(1-frac_malaria_risk)*(0.3)*(1-school_attendance)</f>
        <v>6.2985600000000003E-2</v>
      </c>
      <c r="M24" s="15">
        <f>food_insecure*(1-frac_malaria_risk)*(0.3)</f>
        <v>9.7199999999999995E-2</v>
      </c>
      <c r="N24" s="15">
        <f>food_insecure*(1-frac_malaria_risk)*(0.3)</f>
        <v>9.7199999999999995E-2</v>
      </c>
      <c r="O24" s="15">
        <f>food_insecure*(1-frac_malaria_risk)*(0.3)</f>
        <v>9.7199999999999995E-2</v>
      </c>
    </row>
    <row r="25" spans="1:15" ht="15.75" customHeight="1" x14ac:dyDescent="0.2">
      <c r="B25" s="146" t="s">
        <v>90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3">
        <v>0</v>
      </c>
      <c r="J25" s="23">
        <v>0</v>
      </c>
      <c r="K25" s="23">
        <v>0</v>
      </c>
      <c r="L25" s="15">
        <f>(1-food_insecure)*(1-frac_malaria_risk)*1*school_attendance</f>
        <v>0.20275200000000002</v>
      </c>
      <c r="M25" s="15">
        <v>0</v>
      </c>
      <c r="N25" s="15">
        <v>0</v>
      </c>
      <c r="O25" s="15">
        <v>0</v>
      </c>
    </row>
    <row r="26" spans="1:15" ht="15.75" customHeight="1" x14ac:dyDescent="0.2">
      <c r="B26" s="146" t="s">
        <v>91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3">
        <v>0</v>
      </c>
      <c r="J26" s="23">
        <v>0</v>
      </c>
      <c r="K26" s="23">
        <v>0</v>
      </c>
      <c r="L26" s="15">
        <f>(1-food_insecure)*(1-frac_malaria_risk)*(0.49)*(1-school_attendance)</f>
        <v>0.18289152000000003</v>
      </c>
      <c r="M26" s="15">
        <f>(1-food_insecure)*(1-frac_malaria_risk)*(0.49)</f>
        <v>0.28224000000000005</v>
      </c>
      <c r="N26" s="15">
        <f>(1-food_insecure)*(1-frac_malaria_risk)*(0.49)</f>
        <v>0.28224000000000005</v>
      </c>
      <c r="O26" s="15">
        <f>(1-food_insecure)*(1-frac_malaria_risk)*(0.49)</f>
        <v>0.28224000000000005</v>
      </c>
    </row>
    <row r="27" spans="1:15" ht="15.75" customHeight="1" x14ac:dyDescent="0.2">
      <c r="B27" s="146" t="s">
        <v>92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3">
        <v>0</v>
      </c>
      <c r="J27" s="23">
        <v>0</v>
      </c>
      <c r="K27" s="23">
        <v>0</v>
      </c>
      <c r="L27" s="15">
        <f>(1-food_insecure)*(1-frac_malaria_risk)*(0.21)*(1-school_attendance)</f>
        <v>7.8382080000000007E-2</v>
      </c>
      <c r="M27" s="15">
        <f>(1-food_insecure)*(1-frac_malaria_risk)*(0.21)</f>
        <v>0.12096000000000001</v>
      </c>
      <c r="N27" s="15">
        <f>(1-food_insecure)*(1-frac_malaria_risk)*(0.21)</f>
        <v>0.12096000000000001</v>
      </c>
      <c r="O27" s="15">
        <f>(1-food_insecure)*(1-frac_malaria_risk)*(0.21)</f>
        <v>0.12096000000000001</v>
      </c>
    </row>
    <row r="28" spans="1:15" ht="15.75" customHeight="1" x14ac:dyDescent="0.2">
      <c r="B28" s="146" t="s">
        <v>93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3">
        <v>0</v>
      </c>
      <c r="J28" s="23">
        <v>0</v>
      </c>
      <c r="K28" s="23">
        <v>0</v>
      </c>
      <c r="L28" s="15">
        <f>(1-food_insecure)*(1-frac_malaria_risk)*(0.3)*(1-school_attendance)</f>
        <v>0.11197440000000002</v>
      </c>
      <c r="M28" s="15">
        <f>(1-food_insecure)*(1-frac_malaria_risk)*(0.3)</f>
        <v>0.17280000000000001</v>
      </c>
      <c r="N28" s="15">
        <f>(1-food_insecure)*(1-frac_malaria_risk)*(0.3)</f>
        <v>0.17280000000000001</v>
      </c>
      <c r="O28" s="15">
        <f>(1-food_insecure)*(1-frac_malaria_risk)*(0.3)</f>
        <v>0.17280000000000001</v>
      </c>
    </row>
    <row r="29" spans="1:15" ht="15.75" customHeight="1" x14ac:dyDescent="0.2">
      <c r="A29" s="7"/>
      <c r="B29" s="146" t="s">
        <v>95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3">
        <v>0</v>
      </c>
      <c r="J29" s="23">
        <v>0</v>
      </c>
      <c r="K29" s="23">
        <v>0</v>
      </c>
      <c r="L29" s="15">
        <f>food_insecure*(frac_malaria_risk)*1*school_attendance</f>
        <v>1.2671999999999998E-2</v>
      </c>
      <c r="M29" s="15">
        <v>0</v>
      </c>
      <c r="N29" s="15">
        <v>0</v>
      </c>
      <c r="O29" s="15">
        <v>0</v>
      </c>
    </row>
    <row r="30" spans="1:15" ht="15.75" customHeight="1" x14ac:dyDescent="0.2">
      <c r="B30" s="146" t="s">
        <v>96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3">
        <v>0</v>
      </c>
      <c r="J30" s="23">
        <v>0</v>
      </c>
      <c r="K30" s="23">
        <v>0</v>
      </c>
      <c r="L30" s="15">
        <f>food_insecure*(frac_malaria_risk)*(0.7)*(1-school_attendance)</f>
        <v>1.63296E-2</v>
      </c>
      <c r="M30" s="15">
        <f>food_insecure*(frac_malaria_risk)*(0.7)</f>
        <v>2.5199999999999997E-2</v>
      </c>
      <c r="N30" s="15">
        <f>food_insecure*(frac_malaria_risk)*(0.7)</f>
        <v>2.5199999999999997E-2</v>
      </c>
      <c r="O30" s="15">
        <f>food_insecure*(frac_malaria_risk)*(0.7)</f>
        <v>2.5199999999999997E-2</v>
      </c>
    </row>
    <row r="31" spans="1:15" ht="15.75" customHeight="1" x14ac:dyDescent="0.2">
      <c r="B31" s="146" t="s">
        <v>97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3">
        <v>0</v>
      </c>
      <c r="J31" s="23">
        <v>0</v>
      </c>
      <c r="K31" s="23">
        <v>0</v>
      </c>
      <c r="L31" s="15">
        <f>food_insecure*(frac_malaria_risk)*(0.3)*(1-school_attendance)</f>
        <v>6.9983999999999992E-3</v>
      </c>
      <c r="M31" s="15">
        <f>food_insecure*(1-frac_malaria_risk)*(0.3)</f>
        <v>9.7199999999999995E-2</v>
      </c>
      <c r="N31" s="15">
        <f>food_insecure*(1-frac_malaria_risk)*(0.3)</f>
        <v>9.7199999999999995E-2</v>
      </c>
      <c r="O31" s="15">
        <f>food_insecure*(1-frac_malaria_risk)*(0.3)</f>
        <v>9.7199999999999995E-2</v>
      </c>
    </row>
    <row r="32" spans="1:15" ht="15.75" customHeight="1" x14ac:dyDescent="0.2">
      <c r="B32" s="146" t="s">
        <v>98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3">
        <v>0</v>
      </c>
      <c r="J32" s="23">
        <v>0</v>
      </c>
      <c r="K32" s="23">
        <v>0</v>
      </c>
      <c r="L32" s="15">
        <f>(1-food_insecure)*(frac_malaria_risk)*1*school_attendance</f>
        <v>2.2527999999999999E-2</v>
      </c>
      <c r="M32" s="15">
        <v>0</v>
      </c>
      <c r="N32" s="15">
        <v>0</v>
      </c>
      <c r="O32" s="15">
        <v>0</v>
      </c>
    </row>
    <row r="33" spans="1:15" ht="15.75" customHeight="1" x14ac:dyDescent="0.2">
      <c r="B33" s="146" t="s">
        <v>99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3">
        <v>0</v>
      </c>
      <c r="J33" s="23">
        <v>0</v>
      </c>
      <c r="K33" s="23">
        <v>0</v>
      </c>
      <c r="L33" s="15">
        <f>(1-food_insecure)*(frac_malaria_risk)*(0.49)*(1-school_attendance)</f>
        <v>2.0321280000000001E-2</v>
      </c>
      <c r="M33" s="15">
        <f>(1-food_insecure)*(frac_malaria_risk)*(0.49)</f>
        <v>3.1359999999999999E-2</v>
      </c>
      <c r="N33" s="15">
        <f>(1-food_insecure)*(frac_malaria_risk)*(0.49)</f>
        <v>3.1359999999999999E-2</v>
      </c>
      <c r="O33" s="15">
        <f>(1-food_insecure)*(frac_malaria_risk)*(0.49)</f>
        <v>3.1359999999999999E-2</v>
      </c>
    </row>
    <row r="34" spans="1:15" ht="15.75" customHeight="1" x14ac:dyDescent="0.2">
      <c r="B34" s="146" t="s">
        <v>100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3">
        <v>0</v>
      </c>
      <c r="J34" s="23">
        <v>0</v>
      </c>
      <c r="K34" s="23">
        <v>0</v>
      </c>
      <c r="L34" s="15">
        <f>(1-food_insecure)*(frac_malaria_risk)*(0.21)*(1-school_attendance)</f>
        <v>8.7091200000000007E-3</v>
      </c>
      <c r="M34" s="15">
        <f>(1-food_insecure)*(frac_malaria_risk)*(0.21)</f>
        <v>1.3440000000000001E-2</v>
      </c>
      <c r="N34" s="15">
        <f>(1-food_insecure)*(frac_malaria_risk)*(0.21)</f>
        <v>1.3440000000000001E-2</v>
      </c>
      <c r="O34" s="15">
        <f>(1-food_insecure)*(frac_malaria_risk)*(0.21)</f>
        <v>1.3440000000000001E-2</v>
      </c>
    </row>
    <row r="35" spans="1:15" ht="15.75" customHeight="1" x14ac:dyDescent="0.2">
      <c r="B35" s="146" t="s">
        <v>101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3">
        <v>0</v>
      </c>
      <c r="J35" s="23">
        <v>0</v>
      </c>
      <c r="K35" s="23">
        <v>0</v>
      </c>
      <c r="L35" s="15">
        <f>(1-food_insecure)*(frac_malaria_risk)*(0.3)*(1-school_attendance)</f>
        <v>1.2441599999999999E-2</v>
      </c>
      <c r="M35" s="15">
        <f>(1-food_insecure)*(frac_malaria_risk)*(0.3)</f>
        <v>1.9199999999999998E-2</v>
      </c>
      <c r="N35" s="15">
        <f>(1-food_insecure)*(frac_malaria_risk)*(0.3)</f>
        <v>1.9199999999999998E-2</v>
      </c>
      <c r="O35" s="15">
        <f>(1-food_insecure)*(frac_malaria_risk)*(0.3)</f>
        <v>1.9199999999999998E-2</v>
      </c>
    </row>
    <row r="36" spans="1:15" ht="15.75" customHeight="1" x14ac:dyDescent="0.2">
      <c r="B36" s="146" t="s">
        <v>145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3">
        <v>0</v>
      </c>
      <c r="J36" s="23">
        <v>0</v>
      </c>
      <c r="K36" s="23">
        <v>0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2">
      <c r="B37" s="146" t="s">
        <v>196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3">
        <v>0</v>
      </c>
      <c r="J37" s="23">
        <v>0</v>
      </c>
      <c r="K37" s="23">
        <v>0</v>
      </c>
      <c r="L37" s="15">
        <f>'Baseline year population inputs'!$C$14/SUM('Baseline year population inputs'!$C$14:$C$45)</f>
        <v>1.5799785122922331E-4</v>
      </c>
      <c r="M37" s="15">
        <f>'Baseline year population inputs'!$C$14/SUM('Baseline year population inputs'!$C$14:$C$45)</f>
        <v>1.5799785122922331E-4</v>
      </c>
      <c r="N37" s="15">
        <f>'Baseline year population inputs'!$C$14/SUM('Baseline year population inputs'!$C$14:$C$45)</f>
        <v>1.5799785122922331E-4</v>
      </c>
      <c r="O37" s="15">
        <f>'Baseline year population inputs'!$C$14/SUM('Baseline year population inputs'!$C$14:$C$45)</f>
        <v>1.5799785122922331E-4</v>
      </c>
    </row>
    <row r="38" spans="1:15" ht="15.75" customHeight="1" x14ac:dyDescent="0.2">
      <c r="B38" s="64"/>
      <c r="C38" s="2"/>
      <c r="D38" s="2"/>
      <c r="E38" s="63"/>
      <c r="F38" s="63"/>
      <c r="G38" s="63"/>
      <c r="H38" s="63"/>
      <c r="I38" s="63"/>
    </row>
    <row r="39" spans="1:15" ht="15.75" customHeight="1" x14ac:dyDescent="0.2">
      <c r="A39" s="7" t="s">
        <v>57</v>
      </c>
      <c r="B39" s="146" t="s">
        <v>186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</row>
    <row r="40" spans="1:15" ht="15.75" customHeight="1" x14ac:dyDescent="0.2">
      <c r="B40" s="146" t="s">
        <v>187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</row>
    <row r="41" spans="1:15" ht="15.75" customHeight="1" x14ac:dyDescent="0.2">
      <c r="B41" s="146" t="s">
        <v>188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</row>
    <row r="42" spans="1:15" ht="15.75" customHeight="1" x14ac:dyDescent="0.2">
      <c r="B42" s="146" t="s">
        <v>189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</row>
    <row r="43" spans="1:15" ht="15.75" customHeight="1" x14ac:dyDescent="0.2">
      <c r="B43" s="146" t="s">
        <v>190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</row>
    <row r="44" spans="1:15" ht="15.75" customHeight="1" x14ac:dyDescent="0.2">
      <c r="B44" s="146" t="s">
        <v>191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5" ht="15.75" customHeight="1" x14ac:dyDescent="0.2">
      <c r="B45" s="146" t="s">
        <v>192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</row>
    <row r="46" spans="1:15" ht="15.75" customHeight="1" x14ac:dyDescent="0.2">
      <c r="B46" s="64" t="s">
        <v>193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  <c r="I46" s="2">
        <v>1</v>
      </c>
      <c r="J46" s="2">
        <v>1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</row>
    <row r="47" spans="1:15" ht="15.75" customHeight="1" x14ac:dyDescent="0.2">
      <c r="B47" s="64" t="s">
        <v>194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1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</row>
    <row r="48" spans="1:15" ht="15.75" customHeight="1" x14ac:dyDescent="0.2">
      <c r="B48" s="64" t="s">
        <v>195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1</v>
      </c>
      <c r="I48" s="2">
        <v>1</v>
      </c>
      <c r="J48" s="2">
        <v>1</v>
      </c>
      <c r="K48" s="2">
        <v>1</v>
      </c>
      <c r="L48" s="2">
        <v>0</v>
      </c>
      <c r="M48" s="2">
        <v>0</v>
      </c>
      <c r="N48" s="2">
        <v>0</v>
      </c>
      <c r="O48" s="2">
        <v>0</v>
      </c>
    </row>
    <row r="49" spans="1:15" ht="15.75" customHeight="1" x14ac:dyDescent="0.2">
      <c r="A49" s="8"/>
      <c r="B49" s="64" t="s">
        <v>56</v>
      </c>
      <c r="C49" s="19">
        <f t="shared" ref="C49:O49" si="1">frac_malaria_risk</f>
        <v>0.1</v>
      </c>
      <c r="D49" s="19">
        <f t="shared" si="1"/>
        <v>0.1</v>
      </c>
      <c r="E49" s="19">
        <f t="shared" si="1"/>
        <v>0.1</v>
      </c>
      <c r="F49" s="19">
        <f t="shared" si="1"/>
        <v>0.1</v>
      </c>
      <c r="G49" s="19">
        <f t="shared" si="1"/>
        <v>0.1</v>
      </c>
      <c r="H49" s="19">
        <f t="shared" si="1"/>
        <v>0.1</v>
      </c>
      <c r="I49" s="19">
        <f t="shared" si="1"/>
        <v>0.1</v>
      </c>
      <c r="J49" s="19">
        <f t="shared" si="1"/>
        <v>0.1</v>
      </c>
      <c r="K49" s="19">
        <f t="shared" si="1"/>
        <v>0.1</v>
      </c>
      <c r="L49" s="19">
        <f t="shared" si="1"/>
        <v>0.1</v>
      </c>
      <c r="M49" s="19">
        <f t="shared" si="1"/>
        <v>0.1</v>
      </c>
      <c r="N49" s="19">
        <f t="shared" si="1"/>
        <v>0.1</v>
      </c>
      <c r="O49" s="19">
        <f t="shared" si="1"/>
        <v>0.1</v>
      </c>
    </row>
    <row r="50" spans="1:15" s="8" customFormat="1" ht="15.75" customHeight="1" x14ac:dyDescent="0.2">
      <c r="B50" s="64" t="s">
        <v>109</v>
      </c>
      <c r="C50" s="68">
        <v>0</v>
      </c>
      <c r="D50" s="68">
        <v>0</v>
      </c>
      <c r="E50" s="69">
        <f t="shared" ref="E50:O50" si="2">frac_wheat</f>
        <v>0.12</v>
      </c>
      <c r="F50" s="69">
        <f t="shared" si="2"/>
        <v>0.12</v>
      </c>
      <c r="G50" s="69">
        <f t="shared" si="2"/>
        <v>0.12</v>
      </c>
      <c r="H50" s="69">
        <f t="shared" si="2"/>
        <v>0.12</v>
      </c>
      <c r="I50" s="69">
        <f t="shared" si="2"/>
        <v>0.12</v>
      </c>
      <c r="J50" s="69">
        <f t="shared" si="2"/>
        <v>0.12</v>
      </c>
      <c r="K50" s="69">
        <f t="shared" si="2"/>
        <v>0.12</v>
      </c>
      <c r="L50" s="69">
        <f t="shared" si="2"/>
        <v>0.12</v>
      </c>
      <c r="M50" s="69">
        <f t="shared" si="2"/>
        <v>0.12</v>
      </c>
      <c r="N50" s="69">
        <f t="shared" si="2"/>
        <v>0.12</v>
      </c>
      <c r="O50" s="69">
        <f t="shared" si="2"/>
        <v>0.12</v>
      </c>
    </row>
    <row r="51" spans="1:15" s="8" customFormat="1" ht="15.75" customHeight="1" x14ac:dyDescent="0.2">
      <c r="B51" s="64" t="s">
        <v>110</v>
      </c>
      <c r="C51" s="68">
        <v>0</v>
      </c>
      <c r="D51" s="68">
        <v>0</v>
      </c>
      <c r="E51" s="68">
        <f t="shared" ref="E51:O51" si="3">frac_maize</f>
        <v>0.05</v>
      </c>
      <c r="F51" s="68">
        <f t="shared" si="3"/>
        <v>0.05</v>
      </c>
      <c r="G51" s="68">
        <f t="shared" si="3"/>
        <v>0.05</v>
      </c>
      <c r="H51" s="68">
        <f t="shared" si="3"/>
        <v>0.05</v>
      </c>
      <c r="I51" s="68">
        <f t="shared" si="3"/>
        <v>0.05</v>
      </c>
      <c r="J51" s="68">
        <f t="shared" si="3"/>
        <v>0.05</v>
      </c>
      <c r="K51" s="68">
        <f t="shared" si="3"/>
        <v>0.05</v>
      </c>
      <c r="L51" s="68">
        <f t="shared" si="3"/>
        <v>0.05</v>
      </c>
      <c r="M51" s="68">
        <f t="shared" si="3"/>
        <v>0.05</v>
      </c>
      <c r="N51" s="68">
        <f t="shared" si="3"/>
        <v>0.05</v>
      </c>
      <c r="O51" s="68">
        <f t="shared" si="3"/>
        <v>0.05</v>
      </c>
    </row>
    <row r="52" spans="1:15" s="8" customFormat="1" ht="15.75" customHeight="1" x14ac:dyDescent="0.2">
      <c r="B52" s="64" t="s">
        <v>111</v>
      </c>
      <c r="C52" s="68">
        <v>0</v>
      </c>
      <c r="D52" s="68">
        <v>0</v>
      </c>
      <c r="E52" s="68">
        <f t="shared" ref="E52:O52" si="4">frac_rice</f>
        <v>0.8</v>
      </c>
      <c r="F52" s="68">
        <f t="shared" si="4"/>
        <v>0.8</v>
      </c>
      <c r="G52" s="68">
        <f t="shared" si="4"/>
        <v>0.8</v>
      </c>
      <c r="H52" s="68">
        <f t="shared" si="4"/>
        <v>0.8</v>
      </c>
      <c r="I52" s="68">
        <f t="shared" si="4"/>
        <v>0.8</v>
      </c>
      <c r="J52" s="68">
        <f t="shared" si="4"/>
        <v>0.8</v>
      </c>
      <c r="K52" s="68">
        <f t="shared" si="4"/>
        <v>0.8</v>
      </c>
      <c r="L52" s="68">
        <f t="shared" si="4"/>
        <v>0.8</v>
      </c>
      <c r="M52" s="68">
        <f t="shared" si="4"/>
        <v>0.8</v>
      </c>
      <c r="N52" s="68">
        <f t="shared" si="4"/>
        <v>0.8</v>
      </c>
      <c r="O52" s="68">
        <f t="shared" si="4"/>
        <v>0.8</v>
      </c>
    </row>
    <row r="53" spans="1:15" ht="15" customHeight="1" x14ac:dyDescent="0.2">
      <c r="B53" s="64" t="s">
        <v>72</v>
      </c>
      <c r="C53" s="2">
        <v>0</v>
      </c>
      <c r="D53" s="2">
        <v>0</v>
      </c>
      <c r="E53" s="19">
        <v>1</v>
      </c>
      <c r="F53" s="19">
        <v>1</v>
      </c>
      <c r="G53" s="19">
        <v>1</v>
      </c>
      <c r="H53" s="19">
        <v>1</v>
      </c>
      <c r="I53" s="19">
        <v>1</v>
      </c>
      <c r="J53" s="19">
        <v>1</v>
      </c>
      <c r="K53" s="19">
        <v>1</v>
      </c>
      <c r="L53" s="19">
        <v>1</v>
      </c>
      <c r="M53" s="19">
        <v>1</v>
      </c>
      <c r="N53" s="19">
        <v>1</v>
      </c>
      <c r="O53" s="19">
        <v>1</v>
      </c>
    </row>
    <row r="54" spans="1:15" ht="15.75" customHeight="1" x14ac:dyDescent="0.2">
      <c r="B54" s="146"/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B48" sqref="B48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7" t="s">
        <v>54</v>
      </c>
      <c r="B1" s="1" t="s">
        <v>154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82</v>
      </c>
      <c r="I1" s="7" t="s">
        <v>83</v>
      </c>
      <c r="J1" s="7" t="s">
        <v>84</v>
      </c>
      <c r="K1" s="7" t="s">
        <v>85</v>
      </c>
      <c r="L1" s="7" t="s">
        <v>78</v>
      </c>
      <c r="M1" s="7" t="s">
        <v>79</v>
      </c>
      <c r="N1" s="7" t="s">
        <v>80</v>
      </c>
      <c r="O1" s="7" t="s">
        <v>81</v>
      </c>
    </row>
    <row r="2" spans="1:15" ht="15.75" customHeight="1" x14ac:dyDescent="0.2">
      <c r="A2" s="7" t="s">
        <v>52</v>
      </c>
      <c r="B2" s="30" t="s">
        <v>46</v>
      </c>
      <c r="C2" s="23">
        <v>1</v>
      </c>
      <c r="D2" s="23">
        <v>1</v>
      </c>
      <c r="E2" s="23">
        <v>0</v>
      </c>
      <c r="F2" s="23">
        <v>0</v>
      </c>
      <c r="G2" s="23">
        <v>0</v>
      </c>
      <c r="H2" s="23">
        <v>1</v>
      </c>
      <c r="I2" s="23">
        <v>1</v>
      </c>
      <c r="J2" s="23">
        <v>1</v>
      </c>
      <c r="K2" s="23">
        <v>1</v>
      </c>
      <c r="L2" s="23">
        <v>0</v>
      </c>
      <c r="M2" s="23">
        <v>0</v>
      </c>
      <c r="N2" s="23">
        <v>0</v>
      </c>
      <c r="O2" s="23">
        <v>0</v>
      </c>
    </row>
    <row r="3" spans="1:15" ht="15.75" customHeight="1" x14ac:dyDescent="0.2">
      <c r="A3" s="7"/>
      <c r="B3" s="3" t="s">
        <v>105</v>
      </c>
      <c r="C3" s="23">
        <v>0</v>
      </c>
      <c r="D3" s="23">
        <v>0</v>
      </c>
      <c r="E3" s="23">
        <v>1</v>
      </c>
      <c r="F3" s="23">
        <v>1</v>
      </c>
      <c r="G3" s="23">
        <v>1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</row>
    <row r="4" spans="1:15" ht="15.75" customHeight="1" x14ac:dyDescent="0.2">
      <c r="B4" s="3" t="s">
        <v>41</v>
      </c>
      <c r="C4" s="23">
        <v>0</v>
      </c>
      <c r="D4" s="23">
        <v>0</v>
      </c>
      <c r="E4" s="23">
        <v>1</v>
      </c>
      <c r="F4" s="23">
        <v>1</v>
      </c>
      <c r="G4" s="23">
        <v>1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</row>
    <row r="5" spans="1:15" ht="15.75" customHeight="1" x14ac:dyDescent="0.2">
      <c r="B5" s="30" t="s">
        <v>47</v>
      </c>
      <c r="C5" s="23">
        <v>0</v>
      </c>
      <c r="D5" s="23">
        <v>0</v>
      </c>
      <c r="E5" s="23">
        <v>1</v>
      </c>
      <c r="F5" s="23">
        <v>1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</row>
    <row r="6" spans="1:15" ht="15.75" customHeight="1" x14ac:dyDescent="0.2">
      <c r="B6" s="3" t="s">
        <v>94</v>
      </c>
      <c r="C6" s="23">
        <v>0</v>
      </c>
      <c r="D6" s="23">
        <v>0</v>
      </c>
      <c r="E6" s="23">
        <v>1</v>
      </c>
      <c r="F6" s="23">
        <v>1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</row>
    <row r="7" spans="1:15" ht="15.75" customHeight="1" x14ac:dyDescent="0.2">
      <c r="B7" s="3" t="s">
        <v>290</v>
      </c>
      <c r="C7" s="23">
        <v>0</v>
      </c>
      <c r="D7" s="23">
        <v>0</v>
      </c>
      <c r="E7" s="23">
        <v>1</v>
      </c>
      <c r="F7" s="23">
        <v>1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</row>
    <row r="8" spans="1:15" ht="15.75" customHeight="1" x14ac:dyDescent="0.2">
      <c r="B8" s="3" t="s">
        <v>291</v>
      </c>
      <c r="C8" s="23">
        <v>0</v>
      </c>
      <c r="D8" s="23">
        <v>0</v>
      </c>
      <c r="E8" s="23">
        <v>1</v>
      </c>
      <c r="F8" s="23">
        <v>1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</row>
    <row r="9" spans="1:15" ht="15.75" customHeight="1" x14ac:dyDescent="0.2">
      <c r="B9" s="3" t="s">
        <v>293</v>
      </c>
      <c r="C9" s="23">
        <v>0</v>
      </c>
      <c r="D9" s="23">
        <v>0</v>
      </c>
      <c r="E9" s="23">
        <v>1</v>
      </c>
      <c r="F9" s="23">
        <v>1</v>
      </c>
      <c r="G9" s="23">
        <v>1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</row>
    <row r="10" spans="1:15" ht="15.75" customHeight="1" x14ac:dyDescent="0.2">
      <c r="B10" s="3" t="s">
        <v>294</v>
      </c>
      <c r="C10" s="23">
        <v>0</v>
      </c>
      <c r="D10" s="23">
        <v>0</v>
      </c>
      <c r="E10" s="23">
        <v>1</v>
      </c>
      <c r="F10" s="23">
        <v>1</v>
      </c>
      <c r="G10" s="23">
        <v>1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</row>
    <row r="11" spans="1:15" ht="15.75" customHeight="1" x14ac:dyDescent="0.2">
      <c r="B11" s="3" t="s">
        <v>108</v>
      </c>
      <c r="C11" s="70">
        <v>0</v>
      </c>
      <c r="D11" s="70">
        <v>1</v>
      </c>
      <c r="E11" s="23">
        <v>1</v>
      </c>
      <c r="F11" s="23">
        <v>1</v>
      </c>
      <c r="G11" s="70">
        <v>1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</row>
    <row r="12" spans="1:15" ht="15.75" customHeight="1" x14ac:dyDescent="0.2">
      <c r="B12" s="3" t="s">
        <v>114</v>
      </c>
      <c r="C12" s="70">
        <v>0</v>
      </c>
      <c r="D12" s="70">
        <v>1</v>
      </c>
      <c r="E12" s="70">
        <v>1</v>
      </c>
      <c r="F12" s="70">
        <v>1</v>
      </c>
      <c r="G12" s="70">
        <v>1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</row>
    <row r="13" spans="1:15" ht="15.75" customHeight="1" x14ac:dyDescent="0.2">
      <c r="B13" s="3" t="s">
        <v>115</v>
      </c>
      <c r="C13" s="70">
        <v>0</v>
      </c>
      <c r="D13" s="70">
        <v>1</v>
      </c>
      <c r="E13" s="70">
        <v>1</v>
      </c>
      <c r="F13" s="70">
        <v>1</v>
      </c>
      <c r="G13" s="70">
        <v>1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</row>
    <row r="14" spans="1:15" ht="15.75" customHeight="1" x14ac:dyDescent="0.2"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</row>
    <row r="15" spans="1:15" ht="15.75" customHeight="1" x14ac:dyDescent="0.2">
      <c r="A15" s="7" t="s">
        <v>53</v>
      </c>
      <c r="B15" t="s">
        <v>48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1</v>
      </c>
      <c r="I15" s="23">
        <v>1</v>
      </c>
      <c r="J15" s="23">
        <v>1</v>
      </c>
      <c r="K15" s="23">
        <v>1</v>
      </c>
      <c r="L15" s="23">
        <v>0</v>
      </c>
      <c r="M15" s="23">
        <v>0</v>
      </c>
      <c r="N15" s="23">
        <v>0</v>
      </c>
      <c r="O15" s="23">
        <v>0</v>
      </c>
    </row>
    <row r="16" spans="1:15" ht="15.75" customHeight="1" x14ac:dyDescent="0.2">
      <c r="A16" s="7"/>
      <c r="B16" t="s">
        <v>102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1</v>
      </c>
      <c r="I16" s="23">
        <v>1</v>
      </c>
      <c r="J16" s="23">
        <v>1</v>
      </c>
      <c r="K16" s="23">
        <v>1</v>
      </c>
      <c r="L16" s="23">
        <v>0</v>
      </c>
      <c r="M16" s="23">
        <v>0</v>
      </c>
      <c r="N16" s="23">
        <v>0</v>
      </c>
      <c r="O16" s="23">
        <v>0</v>
      </c>
    </row>
    <row r="17" spans="1:15" ht="15.75" customHeight="1" x14ac:dyDescent="0.2">
      <c r="B17" t="s">
        <v>103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1</v>
      </c>
      <c r="I17" s="23">
        <v>1</v>
      </c>
      <c r="J17" s="23">
        <v>1</v>
      </c>
      <c r="K17" s="23">
        <v>1</v>
      </c>
      <c r="L17" s="23">
        <v>0</v>
      </c>
      <c r="M17" s="23">
        <v>0</v>
      </c>
      <c r="N17" s="23">
        <v>0</v>
      </c>
      <c r="O17" s="23">
        <v>0</v>
      </c>
    </row>
    <row r="18" spans="1:15" ht="15.75" customHeight="1" x14ac:dyDescent="0.2">
      <c r="B18" s="3" t="s">
        <v>55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1</v>
      </c>
      <c r="I18" s="23">
        <v>1</v>
      </c>
      <c r="J18" s="23">
        <v>1</v>
      </c>
      <c r="K18" s="23">
        <v>1</v>
      </c>
      <c r="L18" s="23">
        <v>0</v>
      </c>
      <c r="M18" s="23">
        <v>0</v>
      </c>
      <c r="N18" s="23">
        <v>0</v>
      </c>
      <c r="O18" s="23">
        <v>0</v>
      </c>
    </row>
    <row r="19" spans="1:15" ht="15.75" customHeight="1" x14ac:dyDescent="0.2">
      <c r="B19" s="3" t="s">
        <v>104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1</v>
      </c>
      <c r="I19" s="23">
        <v>1</v>
      </c>
      <c r="J19" s="23">
        <v>1</v>
      </c>
      <c r="K19" s="23">
        <v>1</v>
      </c>
      <c r="L19" s="23">
        <v>0</v>
      </c>
      <c r="M19" s="23">
        <v>0</v>
      </c>
      <c r="N19" s="23">
        <v>0</v>
      </c>
      <c r="O19" s="23">
        <v>0</v>
      </c>
    </row>
    <row r="20" spans="1:15" ht="15.95" customHeight="1" x14ac:dyDescent="0.2">
      <c r="B20" t="s">
        <v>86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1</v>
      </c>
      <c r="I20" s="23">
        <v>1</v>
      </c>
      <c r="J20" s="23">
        <v>1</v>
      </c>
      <c r="K20" s="23">
        <v>1</v>
      </c>
      <c r="L20" s="23">
        <v>0</v>
      </c>
      <c r="M20" s="23">
        <v>0</v>
      </c>
      <c r="N20" s="23">
        <v>0</v>
      </c>
      <c r="O20" s="23">
        <v>0</v>
      </c>
    </row>
    <row r="21" spans="1:15" ht="15.95" customHeight="1" x14ac:dyDescent="0.2">
      <c r="B21" t="s">
        <v>124</v>
      </c>
      <c r="C21" s="23">
        <v>1</v>
      </c>
      <c r="D21" s="23">
        <v>1</v>
      </c>
      <c r="E21" s="23">
        <v>1</v>
      </c>
      <c r="F21" s="23">
        <v>1</v>
      </c>
      <c r="G21" s="23">
        <v>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1:15" ht="15.75" customHeight="1" x14ac:dyDescent="0.2">
      <c r="B22" t="s">
        <v>125</v>
      </c>
      <c r="C22" s="23">
        <v>1</v>
      </c>
      <c r="D22" s="23">
        <v>1</v>
      </c>
      <c r="E22" s="23">
        <v>1</v>
      </c>
      <c r="F22" s="23">
        <v>1</v>
      </c>
      <c r="G22" s="23">
        <v>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1:15" ht="15.75" customHeight="1" x14ac:dyDescent="0.2">
      <c r="B23" t="s">
        <v>126</v>
      </c>
      <c r="C23" s="23">
        <v>1</v>
      </c>
      <c r="D23" s="23">
        <v>1</v>
      </c>
      <c r="E23" s="23">
        <v>1</v>
      </c>
      <c r="F23" s="23">
        <v>1</v>
      </c>
      <c r="G23" s="23">
        <v>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1:15" ht="15.75" customHeight="1" x14ac:dyDescent="0.2"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</row>
    <row r="25" spans="1:15" ht="15.75" customHeight="1" x14ac:dyDescent="0.2">
      <c r="A25" s="7" t="s">
        <v>62</v>
      </c>
      <c r="B25" t="s">
        <v>87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1</v>
      </c>
      <c r="M25" s="23">
        <v>0</v>
      </c>
      <c r="N25" s="23">
        <v>0</v>
      </c>
      <c r="O25" s="23">
        <v>0</v>
      </c>
    </row>
    <row r="26" spans="1:15" ht="15.75" customHeight="1" x14ac:dyDescent="0.2">
      <c r="B26" t="s">
        <v>88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1</v>
      </c>
      <c r="M26" s="23">
        <v>1</v>
      </c>
      <c r="N26" s="23">
        <v>1</v>
      </c>
      <c r="O26" s="23">
        <v>1</v>
      </c>
    </row>
    <row r="27" spans="1:15" ht="15.75" customHeight="1" x14ac:dyDescent="0.2">
      <c r="B27" t="s">
        <v>89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1</v>
      </c>
      <c r="M27" s="23">
        <v>1</v>
      </c>
      <c r="N27" s="23">
        <v>1</v>
      </c>
      <c r="O27" s="23">
        <v>1</v>
      </c>
    </row>
    <row r="28" spans="1:15" ht="15.75" customHeight="1" x14ac:dyDescent="0.2">
      <c r="B28" t="s">
        <v>90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1</v>
      </c>
      <c r="M28" s="23">
        <v>0</v>
      </c>
      <c r="N28" s="23">
        <v>0</v>
      </c>
      <c r="O28" s="23">
        <v>0</v>
      </c>
    </row>
    <row r="29" spans="1:15" ht="15.75" customHeight="1" x14ac:dyDescent="0.2">
      <c r="B29" t="s">
        <v>91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</v>
      </c>
      <c r="M29" s="23">
        <v>1</v>
      </c>
      <c r="N29" s="23">
        <v>1</v>
      </c>
      <c r="O29" s="23">
        <v>1</v>
      </c>
    </row>
    <row r="30" spans="1:15" ht="15.75" customHeight="1" x14ac:dyDescent="0.2">
      <c r="B30" t="s">
        <v>92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</v>
      </c>
      <c r="M30" s="23">
        <v>1</v>
      </c>
      <c r="N30" s="23">
        <v>1</v>
      </c>
      <c r="O30" s="23">
        <v>1</v>
      </c>
    </row>
    <row r="31" spans="1:15" ht="15.75" customHeight="1" x14ac:dyDescent="0.2">
      <c r="B31" t="s">
        <v>93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1</v>
      </c>
      <c r="M31" s="23">
        <v>1</v>
      </c>
      <c r="N31" s="23">
        <v>1</v>
      </c>
      <c r="O31" s="23">
        <v>1</v>
      </c>
    </row>
    <row r="32" spans="1:15" ht="15.75" customHeight="1" x14ac:dyDescent="0.2">
      <c r="A32" s="7"/>
      <c r="B32" t="s">
        <v>95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1</v>
      </c>
      <c r="M32" s="23">
        <v>0</v>
      </c>
      <c r="N32" s="23">
        <v>0</v>
      </c>
      <c r="O32" s="23">
        <v>0</v>
      </c>
    </row>
    <row r="33" spans="1:15" ht="15.75" customHeight="1" x14ac:dyDescent="0.2">
      <c r="B33" t="s">
        <v>96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1</v>
      </c>
      <c r="M33" s="23">
        <v>1</v>
      </c>
      <c r="N33" s="23">
        <v>1</v>
      </c>
      <c r="O33" s="23">
        <v>1</v>
      </c>
    </row>
    <row r="34" spans="1:15" ht="15.75" customHeight="1" x14ac:dyDescent="0.2">
      <c r="B34" t="s">
        <v>97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1</v>
      </c>
      <c r="M34" s="23">
        <v>1</v>
      </c>
      <c r="N34" s="23">
        <v>1</v>
      </c>
      <c r="O34" s="23">
        <v>1</v>
      </c>
    </row>
    <row r="35" spans="1:15" ht="15.75" customHeight="1" x14ac:dyDescent="0.2">
      <c r="B35" t="s">
        <v>98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1</v>
      </c>
      <c r="M35" s="23">
        <v>0</v>
      </c>
      <c r="N35" s="23">
        <v>0</v>
      </c>
      <c r="O35" s="23">
        <v>0</v>
      </c>
    </row>
    <row r="36" spans="1:15" ht="15.75" customHeight="1" x14ac:dyDescent="0.2">
      <c r="B36" t="s">
        <v>99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1</v>
      </c>
      <c r="M36" s="23">
        <v>1</v>
      </c>
      <c r="N36" s="23">
        <v>1</v>
      </c>
      <c r="O36" s="23">
        <v>1</v>
      </c>
    </row>
    <row r="37" spans="1:15" ht="15.75" customHeight="1" x14ac:dyDescent="0.2">
      <c r="B37" t="s">
        <v>100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1</v>
      </c>
      <c r="M37" s="23">
        <v>1</v>
      </c>
      <c r="N37" s="23">
        <v>1</v>
      </c>
      <c r="O37" s="23">
        <v>1</v>
      </c>
    </row>
    <row r="38" spans="1:15" ht="15.75" customHeight="1" x14ac:dyDescent="0.2">
      <c r="B38" t="s">
        <v>101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1</v>
      </c>
      <c r="M38" s="23">
        <v>1</v>
      </c>
      <c r="N38" s="23">
        <v>1</v>
      </c>
      <c r="O38" s="23">
        <v>1</v>
      </c>
    </row>
    <row r="39" spans="1:15" ht="15.75" customHeight="1" x14ac:dyDescent="0.2">
      <c r="B39" t="s">
        <v>145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77">
        <v>1</v>
      </c>
      <c r="M39" s="77">
        <v>1</v>
      </c>
      <c r="N39" s="77">
        <v>1</v>
      </c>
      <c r="O39" s="77">
        <v>1</v>
      </c>
    </row>
    <row r="40" spans="1:15" ht="15.75" customHeight="1" x14ac:dyDescent="0.2">
      <c r="B40" s="8" t="s">
        <v>196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1</v>
      </c>
      <c r="M40" s="23">
        <v>1</v>
      </c>
      <c r="N40" s="23">
        <v>1</v>
      </c>
      <c r="O40" s="23">
        <v>1</v>
      </c>
    </row>
    <row r="41" spans="1:15" ht="15.75" customHeight="1" x14ac:dyDescent="0.2">
      <c r="B41" s="9"/>
      <c r="C41" s="23"/>
      <c r="D41" s="23"/>
      <c r="E41" s="78"/>
      <c r="F41" s="78"/>
      <c r="G41" s="78"/>
      <c r="H41" s="78"/>
      <c r="I41" s="78"/>
      <c r="J41" s="76"/>
      <c r="K41" s="76"/>
      <c r="L41" s="76"/>
      <c r="M41" s="76"/>
      <c r="N41" s="76"/>
      <c r="O41" s="76"/>
    </row>
    <row r="42" spans="1:15" ht="15.75" customHeight="1" x14ac:dyDescent="0.2">
      <c r="A42" s="7" t="s">
        <v>57</v>
      </c>
      <c r="B42" t="s">
        <v>186</v>
      </c>
      <c r="C42" s="23">
        <v>1</v>
      </c>
      <c r="D42" s="23">
        <v>1</v>
      </c>
      <c r="E42" s="23">
        <v>1</v>
      </c>
      <c r="F42" s="23">
        <v>1</v>
      </c>
      <c r="G42" s="23">
        <v>1</v>
      </c>
      <c r="H42" s="23">
        <v>1</v>
      </c>
      <c r="I42" s="23">
        <v>1</v>
      </c>
      <c r="J42" s="23">
        <v>1</v>
      </c>
      <c r="K42" s="23">
        <v>1</v>
      </c>
      <c r="L42" s="23">
        <v>1</v>
      </c>
      <c r="M42" s="23">
        <v>1</v>
      </c>
      <c r="N42" s="23">
        <v>1</v>
      </c>
      <c r="O42" s="23">
        <v>1</v>
      </c>
    </row>
    <row r="43" spans="1:15" ht="15.75" customHeight="1" x14ac:dyDescent="0.2">
      <c r="B43" t="s">
        <v>187</v>
      </c>
      <c r="C43" s="23">
        <v>1</v>
      </c>
      <c r="D43" s="23">
        <v>1</v>
      </c>
      <c r="E43" s="23">
        <v>1</v>
      </c>
      <c r="F43" s="23">
        <v>1</v>
      </c>
      <c r="G43" s="23">
        <v>1</v>
      </c>
      <c r="H43" s="23">
        <v>1</v>
      </c>
      <c r="I43" s="23">
        <v>1</v>
      </c>
      <c r="J43" s="23">
        <v>1</v>
      </c>
      <c r="K43" s="23">
        <v>1</v>
      </c>
      <c r="L43" s="23">
        <v>1</v>
      </c>
      <c r="M43" s="23">
        <v>1</v>
      </c>
      <c r="N43" s="23">
        <v>1</v>
      </c>
      <c r="O43" s="23">
        <v>1</v>
      </c>
    </row>
    <row r="44" spans="1:15" ht="15.75" customHeight="1" x14ac:dyDescent="0.2">
      <c r="B44" t="s">
        <v>188</v>
      </c>
      <c r="C44" s="23">
        <v>1</v>
      </c>
      <c r="D44" s="23">
        <v>1</v>
      </c>
      <c r="E44" s="23">
        <v>1</v>
      </c>
      <c r="F44" s="23">
        <v>1</v>
      </c>
      <c r="G44" s="23">
        <v>1</v>
      </c>
      <c r="H44" s="23">
        <v>1</v>
      </c>
      <c r="I44" s="23">
        <v>1</v>
      </c>
      <c r="J44" s="23">
        <v>1</v>
      </c>
      <c r="K44" s="23">
        <v>1</v>
      </c>
      <c r="L44" s="23">
        <v>1</v>
      </c>
      <c r="M44" s="23">
        <v>1</v>
      </c>
      <c r="N44" s="23">
        <v>1</v>
      </c>
      <c r="O44" s="23">
        <v>1</v>
      </c>
    </row>
    <row r="45" spans="1:15" ht="15.75" customHeight="1" x14ac:dyDescent="0.2">
      <c r="B45" t="s">
        <v>189</v>
      </c>
      <c r="C45" s="23">
        <v>1</v>
      </c>
      <c r="D45" s="23">
        <v>1</v>
      </c>
      <c r="E45" s="23">
        <v>1</v>
      </c>
      <c r="F45" s="23">
        <v>1</v>
      </c>
      <c r="G45" s="23">
        <v>1</v>
      </c>
      <c r="H45" s="23">
        <v>1</v>
      </c>
      <c r="I45" s="23">
        <v>1</v>
      </c>
      <c r="J45" s="23">
        <v>1</v>
      </c>
      <c r="K45" s="23">
        <v>1</v>
      </c>
      <c r="L45" s="23">
        <v>1</v>
      </c>
      <c r="M45" s="23">
        <v>1</v>
      </c>
      <c r="N45" s="23">
        <v>1</v>
      </c>
      <c r="O45" s="23">
        <v>1</v>
      </c>
    </row>
    <row r="46" spans="1:15" ht="15.75" customHeight="1" x14ac:dyDescent="0.2">
      <c r="B46" t="s">
        <v>190</v>
      </c>
      <c r="C46" s="23">
        <v>1</v>
      </c>
      <c r="D46" s="23">
        <v>1</v>
      </c>
      <c r="E46" s="23">
        <v>1</v>
      </c>
      <c r="F46" s="23">
        <v>1</v>
      </c>
      <c r="G46" s="23">
        <v>1</v>
      </c>
      <c r="H46" s="23">
        <v>1</v>
      </c>
      <c r="I46" s="23">
        <v>1</v>
      </c>
      <c r="J46" s="23">
        <v>1</v>
      </c>
      <c r="K46" s="23">
        <v>1</v>
      </c>
      <c r="L46" s="23">
        <v>1</v>
      </c>
      <c r="M46" s="23">
        <v>1</v>
      </c>
      <c r="N46" s="23">
        <v>1</v>
      </c>
      <c r="O46" s="23">
        <v>1</v>
      </c>
    </row>
    <row r="47" spans="1:15" ht="15.75" customHeight="1" x14ac:dyDescent="0.2">
      <c r="B47" t="s">
        <v>191</v>
      </c>
      <c r="C47" s="23">
        <v>1</v>
      </c>
      <c r="D47" s="23">
        <v>1</v>
      </c>
      <c r="E47" s="23">
        <v>1</v>
      </c>
      <c r="F47" s="23">
        <v>1</v>
      </c>
      <c r="G47" s="23">
        <v>1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</row>
    <row r="48" spans="1:15" ht="15.75" customHeight="1" x14ac:dyDescent="0.2">
      <c r="B48" t="s">
        <v>192</v>
      </c>
      <c r="C48" s="23">
        <v>1</v>
      </c>
      <c r="D48" s="23">
        <v>1</v>
      </c>
      <c r="E48" s="23">
        <v>1</v>
      </c>
      <c r="F48" s="23">
        <v>1</v>
      </c>
      <c r="G48" s="23">
        <v>1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</row>
    <row r="49" spans="1:15" ht="15.75" customHeight="1" x14ac:dyDescent="0.2">
      <c r="B49" s="3" t="s">
        <v>193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1</v>
      </c>
      <c r="I49" s="23">
        <v>1</v>
      </c>
      <c r="J49" s="23">
        <v>1</v>
      </c>
      <c r="K49" s="23">
        <v>1</v>
      </c>
      <c r="L49" s="23">
        <v>0</v>
      </c>
      <c r="M49" s="23">
        <v>0</v>
      </c>
      <c r="N49" s="23">
        <v>0</v>
      </c>
      <c r="O49" s="23">
        <v>0</v>
      </c>
    </row>
    <row r="50" spans="1:15" ht="15.75" customHeight="1" x14ac:dyDescent="0.2">
      <c r="B50" s="3" t="s">
        <v>194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1</v>
      </c>
      <c r="I50" s="23">
        <v>1</v>
      </c>
      <c r="J50" s="23">
        <v>1</v>
      </c>
      <c r="K50" s="23">
        <v>1</v>
      </c>
      <c r="L50" s="23">
        <v>0</v>
      </c>
      <c r="M50" s="23">
        <v>0</v>
      </c>
      <c r="N50" s="23">
        <v>0</v>
      </c>
      <c r="O50" s="23">
        <v>0</v>
      </c>
    </row>
    <row r="51" spans="1:15" ht="15.75" customHeight="1" x14ac:dyDescent="0.2">
      <c r="B51" s="3" t="s">
        <v>195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1</v>
      </c>
      <c r="I51" s="23">
        <v>1</v>
      </c>
      <c r="J51" s="23">
        <v>1</v>
      </c>
      <c r="K51" s="23">
        <v>1</v>
      </c>
      <c r="L51" s="23">
        <v>0</v>
      </c>
      <c r="M51" s="23">
        <v>0</v>
      </c>
      <c r="N51" s="23">
        <v>0</v>
      </c>
      <c r="O51" s="23">
        <v>0</v>
      </c>
    </row>
    <row r="52" spans="1:15" ht="15.75" customHeight="1" x14ac:dyDescent="0.2">
      <c r="A52" s="8"/>
      <c r="B52" s="9" t="s">
        <v>56</v>
      </c>
      <c r="C52" s="77">
        <v>1</v>
      </c>
      <c r="D52" s="77">
        <v>1</v>
      </c>
      <c r="E52" s="77">
        <v>1</v>
      </c>
      <c r="F52" s="77">
        <v>1</v>
      </c>
      <c r="G52" s="77">
        <v>1</v>
      </c>
      <c r="H52" s="77">
        <v>1</v>
      </c>
      <c r="I52" s="77">
        <v>1</v>
      </c>
      <c r="J52" s="77">
        <v>1</v>
      </c>
      <c r="K52" s="77">
        <v>1</v>
      </c>
      <c r="L52" s="77">
        <v>1</v>
      </c>
      <c r="M52" s="77">
        <v>1</v>
      </c>
      <c r="N52" s="77">
        <v>1</v>
      </c>
      <c r="O52" s="77">
        <v>1</v>
      </c>
    </row>
    <row r="53" spans="1:15" s="8" customFormat="1" ht="15.75" customHeight="1" x14ac:dyDescent="0.2">
      <c r="B53" s="9" t="s">
        <v>109</v>
      </c>
      <c r="C53" s="70">
        <v>1</v>
      </c>
      <c r="D53" s="70">
        <v>0</v>
      </c>
      <c r="E53" s="79">
        <v>1</v>
      </c>
      <c r="F53" s="79">
        <v>1</v>
      </c>
      <c r="G53" s="79">
        <v>1</v>
      </c>
      <c r="H53" s="79">
        <v>1</v>
      </c>
      <c r="I53" s="79">
        <v>1</v>
      </c>
      <c r="J53" s="79">
        <v>1</v>
      </c>
      <c r="K53" s="79">
        <v>1</v>
      </c>
      <c r="L53" s="79">
        <v>1</v>
      </c>
      <c r="M53" s="79">
        <v>1</v>
      </c>
      <c r="N53" s="79">
        <v>1</v>
      </c>
      <c r="O53" s="79">
        <v>1</v>
      </c>
    </row>
    <row r="54" spans="1:15" s="8" customFormat="1" ht="15.75" customHeight="1" x14ac:dyDescent="0.2">
      <c r="B54" s="9" t="s">
        <v>110</v>
      </c>
      <c r="C54" s="70">
        <v>1</v>
      </c>
      <c r="D54" s="70">
        <v>0</v>
      </c>
      <c r="E54" s="70">
        <v>1</v>
      </c>
      <c r="F54" s="70">
        <v>1</v>
      </c>
      <c r="G54" s="70">
        <v>1</v>
      </c>
      <c r="H54" s="70">
        <v>1</v>
      </c>
      <c r="I54" s="70">
        <v>1</v>
      </c>
      <c r="J54" s="70">
        <v>1</v>
      </c>
      <c r="K54" s="70">
        <v>1</v>
      </c>
      <c r="L54" s="70">
        <v>1</v>
      </c>
      <c r="M54" s="70">
        <v>1</v>
      </c>
      <c r="N54" s="70">
        <v>1</v>
      </c>
      <c r="O54" s="70">
        <v>1</v>
      </c>
    </row>
    <row r="55" spans="1:15" s="8" customFormat="1" ht="15.75" customHeight="1" x14ac:dyDescent="0.2">
      <c r="B55" s="9" t="s">
        <v>111</v>
      </c>
      <c r="C55" s="70">
        <v>1</v>
      </c>
      <c r="D55" s="70">
        <v>0</v>
      </c>
      <c r="E55" s="70">
        <v>1</v>
      </c>
      <c r="F55" s="70">
        <v>1</v>
      </c>
      <c r="G55" s="70">
        <v>1</v>
      </c>
      <c r="H55" s="70">
        <v>1</v>
      </c>
      <c r="I55" s="70">
        <v>1</v>
      </c>
      <c r="J55" s="70">
        <v>1</v>
      </c>
      <c r="K55" s="70">
        <v>1</v>
      </c>
      <c r="L55" s="70">
        <v>1</v>
      </c>
      <c r="M55" s="70">
        <v>1</v>
      </c>
      <c r="N55" s="70">
        <v>1</v>
      </c>
      <c r="O55" s="70">
        <v>1</v>
      </c>
    </row>
    <row r="56" spans="1:15" ht="15" customHeight="1" x14ac:dyDescent="0.2">
      <c r="B56" s="3" t="s">
        <v>72</v>
      </c>
      <c r="C56" s="2">
        <v>1</v>
      </c>
      <c r="D56" s="2">
        <v>0</v>
      </c>
      <c r="E56" s="19">
        <v>1</v>
      </c>
      <c r="F56" s="19">
        <v>1</v>
      </c>
      <c r="G56" s="19">
        <v>1</v>
      </c>
      <c r="H56" s="19">
        <v>1</v>
      </c>
      <c r="I56" s="19">
        <v>1</v>
      </c>
      <c r="J56" s="19">
        <v>1</v>
      </c>
      <c r="K56" s="19">
        <v>1</v>
      </c>
      <c r="L56" s="19">
        <v>1</v>
      </c>
      <c r="M56" s="19">
        <v>1</v>
      </c>
      <c r="N56" s="19">
        <v>1</v>
      </c>
      <c r="O56" s="1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B15" sqref="B15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7" t="s">
        <v>154</v>
      </c>
      <c r="B1" s="7" t="s">
        <v>167</v>
      </c>
      <c r="C1" s="7" t="s">
        <v>166</v>
      </c>
    </row>
    <row r="2" spans="1:3" x14ac:dyDescent="0.2">
      <c r="A2" t="s">
        <v>48</v>
      </c>
    </row>
    <row r="3" spans="1:3" x14ac:dyDescent="0.2">
      <c r="A3" s="3" t="s">
        <v>108</v>
      </c>
    </row>
    <row r="4" spans="1:3" ht="14.25" x14ac:dyDescent="0.2">
      <c r="A4" s="34" t="s">
        <v>145</v>
      </c>
    </row>
    <row r="5" spans="1:3" x14ac:dyDescent="0.2">
      <c r="A5" s="9" t="s">
        <v>110</v>
      </c>
    </row>
    <row r="6" spans="1:3" x14ac:dyDescent="0.2">
      <c r="A6" s="9" t="s">
        <v>111</v>
      </c>
    </row>
    <row r="7" spans="1:3" x14ac:dyDescent="0.2">
      <c r="A7" s="9" t="s">
        <v>109</v>
      </c>
    </row>
    <row r="8" spans="1:3" x14ac:dyDescent="0.2">
      <c r="A8" t="s">
        <v>91</v>
      </c>
    </row>
    <row r="9" spans="1:3" x14ac:dyDescent="0.2">
      <c r="A9" t="s">
        <v>99</v>
      </c>
      <c r="C9" s="3" t="s">
        <v>56</v>
      </c>
    </row>
    <row r="10" spans="1:3" x14ac:dyDescent="0.2">
      <c r="A10" t="s">
        <v>92</v>
      </c>
    </row>
    <row r="11" spans="1:3" x14ac:dyDescent="0.2">
      <c r="A11" t="s">
        <v>100</v>
      </c>
      <c r="C11" s="3" t="s">
        <v>56</v>
      </c>
    </row>
    <row r="12" spans="1:3" x14ac:dyDescent="0.2">
      <c r="A12" t="s">
        <v>93</v>
      </c>
    </row>
    <row r="13" spans="1:3" x14ac:dyDescent="0.2">
      <c r="A13" t="s">
        <v>101</v>
      </c>
      <c r="C13" s="3" t="s">
        <v>56</v>
      </c>
    </row>
    <row r="14" spans="1:3" x14ac:dyDescent="0.2">
      <c r="A14" t="s">
        <v>90</v>
      </c>
    </row>
    <row r="15" spans="1:3" x14ac:dyDescent="0.2">
      <c r="A15" t="s">
        <v>98</v>
      </c>
      <c r="C15" s="3" t="s">
        <v>56</v>
      </c>
    </row>
    <row r="16" spans="1:3" x14ac:dyDescent="0.2">
      <c r="A16" t="s">
        <v>88</v>
      </c>
    </row>
    <row r="17" spans="1:3" x14ac:dyDescent="0.2">
      <c r="A17" t="s">
        <v>96</v>
      </c>
      <c r="C17" s="3" t="s">
        <v>56</v>
      </c>
    </row>
    <row r="18" spans="1:3" x14ac:dyDescent="0.2">
      <c r="A18" t="s">
        <v>89</v>
      </c>
    </row>
    <row r="19" spans="1:3" x14ac:dyDescent="0.2">
      <c r="A19" t="s">
        <v>97</v>
      </c>
      <c r="C19" s="3" t="s">
        <v>56</v>
      </c>
    </row>
    <row r="20" spans="1:3" x14ac:dyDescent="0.2">
      <c r="A20" t="s">
        <v>87</v>
      </c>
    </row>
    <row r="21" spans="1:3" x14ac:dyDescent="0.2">
      <c r="A21" t="s">
        <v>95</v>
      </c>
      <c r="C21" s="3" t="s">
        <v>56</v>
      </c>
    </row>
    <row r="22" spans="1:3" x14ac:dyDescent="0.2">
      <c r="A22" t="s">
        <v>86</v>
      </c>
    </row>
    <row r="23" spans="1:3" x14ac:dyDescent="0.2">
      <c r="A23" s="3" t="s">
        <v>55</v>
      </c>
      <c r="B23" t="s">
        <v>102</v>
      </c>
    </row>
    <row r="24" spans="1:3" x14ac:dyDescent="0.2">
      <c r="A24" s="3" t="s">
        <v>104</v>
      </c>
      <c r="B24" t="s">
        <v>103</v>
      </c>
      <c r="C24" t="s">
        <v>86</v>
      </c>
    </row>
    <row r="25" spans="1:3" x14ac:dyDescent="0.2">
      <c r="A25" s="3" t="s">
        <v>72</v>
      </c>
    </row>
    <row r="26" spans="1:3" x14ac:dyDescent="0.2">
      <c r="A26" s="3" t="s">
        <v>59</v>
      </c>
      <c r="B26" s="9" t="s">
        <v>110</v>
      </c>
    </row>
    <row r="27" spans="1:3" x14ac:dyDescent="0.2">
      <c r="A27" s="3" t="s">
        <v>60</v>
      </c>
      <c r="B27" s="9" t="s">
        <v>111</v>
      </c>
    </row>
    <row r="28" spans="1:3" x14ac:dyDescent="0.2">
      <c r="A28" s="3" t="s">
        <v>58</v>
      </c>
      <c r="B28" s="9" t="s">
        <v>109</v>
      </c>
    </row>
    <row r="29" spans="1:3" x14ac:dyDescent="0.2">
      <c r="A29" s="3" t="s">
        <v>56</v>
      </c>
    </row>
    <row r="30" spans="1:3" x14ac:dyDescent="0.2">
      <c r="A30" t="s">
        <v>102</v>
      </c>
    </row>
    <row r="31" spans="1:3" x14ac:dyDescent="0.2">
      <c r="A31" t="s">
        <v>103</v>
      </c>
      <c r="C31" t="s">
        <v>86</v>
      </c>
    </row>
    <row r="32" spans="1:3" x14ac:dyDescent="0.2">
      <c r="A32" s="3" t="s">
        <v>94</v>
      </c>
      <c r="B32" t="s">
        <v>292</v>
      </c>
    </row>
    <row r="33" spans="1:3" x14ac:dyDescent="0.2">
      <c r="A33" s="3" t="s">
        <v>290</v>
      </c>
    </row>
    <row r="34" spans="1:3" x14ac:dyDescent="0.2">
      <c r="A34" s="3" t="s">
        <v>291</v>
      </c>
      <c r="C34" s="3" t="s">
        <v>56</v>
      </c>
    </row>
    <row r="35" spans="1:3" x14ac:dyDescent="0.2">
      <c r="A35" s="3" t="s">
        <v>293</v>
      </c>
      <c r="B35" t="s">
        <v>290</v>
      </c>
    </row>
    <row r="36" spans="1:3" x14ac:dyDescent="0.2">
      <c r="A36" s="17" t="s">
        <v>294</v>
      </c>
      <c r="B36" t="s">
        <v>291</v>
      </c>
      <c r="C36" s="3" t="s">
        <v>56</v>
      </c>
    </row>
    <row r="37" spans="1:3" x14ac:dyDescent="0.2">
      <c r="A37" s="3" t="s">
        <v>114</v>
      </c>
    </row>
    <row r="38" spans="1:3" x14ac:dyDescent="0.2">
      <c r="A38" s="3" t="s">
        <v>115</v>
      </c>
    </row>
    <row r="39" spans="1:3" x14ac:dyDescent="0.2">
      <c r="A39" s="3" t="s">
        <v>41</v>
      </c>
      <c r="B39" s="3" t="s">
        <v>293</v>
      </c>
    </row>
    <row r="40" spans="1:3" x14ac:dyDescent="0.2">
      <c r="A40" s="3" t="s">
        <v>105</v>
      </c>
      <c r="B40" s="3" t="s">
        <v>293</v>
      </c>
    </row>
    <row r="41" spans="1:3" x14ac:dyDescent="0.2">
      <c r="A41" s="3" t="s">
        <v>124</v>
      </c>
    </row>
    <row r="42" spans="1:3" x14ac:dyDescent="0.2">
      <c r="A42" s="3" t="s">
        <v>125</v>
      </c>
    </row>
    <row r="43" spans="1:3" x14ac:dyDescent="0.2">
      <c r="A43" s="3" t="s">
        <v>126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A50" sqref="A50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7" t="s">
        <v>154</v>
      </c>
      <c r="B1" s="7" t="s">
        <v>8</v>
      </c>
      <c r="C1" s="7" t="s">
        <v>155</v>
      </c>
      <c r="D1" s="7" t="s">
        <v>168</v>
      </c>
      <c r="E1" s="7" t="s">
        <v>169</v>
      </c>
      <c r="F1" s="7" t="s">
        <v>30</v>
      </c>
      <c r="G1" s="7" t="s">
        <v>160</v>
      </c>
      <c r="H1" s="7" t="s">
        <v>165</v>
      </c>
      <c r="I1" s="7" t="s">
        <v>164</v>
      </c>
      <c r="J1" s="7" t="s">
        <v>156</v>
      </c>
      <c r="K1" s="7" t="s">
        <v>197</v>
      </c>
    </row>
    <row r="2" spans="1:11" x14ac:dyDescent="0.2">
      <c r="A2" t="s">
        <v>48</v>
      </c>
      <c r="I2" t="s">
        <v>128</v>
      </c>
    </row>
    <row r="3" spans="1:11" ht="14.25" x14ac:dyDescent="0.2">
      <c r="A3" s="40" t="s">
        <v>196</v>
      </c>
      <c r="K3" t="s">
        <v>128</v>
      </c>
    </row>
    <row r="4" spans="1:11" x14ac:dyDescent="0.2">
      <c r="A4" s="3" t="s">
        <v>193</v>
      </c>
      <c r="H4" t="s">
        <v>128</v>
      </c>
    </row>
    <row r="5" spans="1:11" x14ac:dyDescent="0.2">
      <c r="A5" s="3" t="s">
        <v>108</v>
      </c>
      <c r="D5" t="s">
        <v>128</v>
      </c>
    </row>
    <row r="6" spans="1:11" x14ac:dyDescent="0.2">
      <c r="A6" t="s">
        <v>145</v>
      </c>
      <c r="J6" t="s">
        <v>128</v>
      </c>
    </row>
    <row r="7" spans="1:11" x14ac:dyDescent="0.2">
      <c r="A7" s="3" t="s">
        <v>110</v>
      </c>
      <c r="C7" t="s">
        <v>128</v>
      </c>
      <c r="H7" t="s">
        <v>128</v>
      </c>
    </row>
    <row r="8" spans="1:11" x14ac:dyDescent="0.2">
      <c r="A8" s="3" t="s">
        <v>111</v>
      </c>
      <c r="C8" t="s">
        <v>128</v>
      </c>
      <c r="H8" t="s">
        <v>128</v>
      </c>
    </row>
    <row r="9" spans="1:11" x14ac:dyDescent="0.2">
      <c r="A9" s="3" t="s">
        <v>109</v>
      </c>
      <c r="C9" t="s">
        <v>128</v>
      </c>
      <c r="H9" t="s">
        <v>128</v>
      </c>
    </row>
    <row r="10" spans="1:11" x14ac:dyDescent="0.2">
      <c r="A10" t="s">
        <v>91</v>
      </c>
      <c r="C10" t="s">
        <v>128</v>
      </c>
    </row>
    <row r="11" spans="1:11" x14ac:dyDescent="0.2">
      <c r="A11" t="s">
        <v>99</v>
      </c>
      <c r="C11" t="s">
        <v>128</v>
      </c>
    </row>
    <row r="12" spans="1:11" x14ac:dyDescent="0.2">
      <c r="A12" t="s">
        <v>92</v>
      </c>
      <c r="C12" t="s">
        <v>128</v>
      </c>
    </row>
    <row r="13" spans="1:11" x14ac:dyDescent="0.2">
      <c r="A13" t="s">
        <v>100</v>
      </c>
      <c r="C13" t="s">
        <v>128</v>
      </c>
    </row>
    <row r="14" spans="1:11" x14ac:dyDescent="0.2">
      <c r="A14" t="s">
        <v>93</v>
      </c>
      <c r="C14" t="s">
        <v>128</v>
      </c>
    </row>
    <row r="15" spans="1:11" x14ac:dyDescent="0.2">
      <c r="A15" t="s">
        <v>101</v>
      </c>
      <c r="C15" t="s">
        <v>128</v>
      </c>
    </row>
    <row r="16" spans="1:11" x14ac:dyDescent="0.2">
      <c r="A16" t="s">
        <v>90</v>
      </c>
      <c r="C16" t="s">
        <v>128</v>
      </c>
    </row>
    <row r="17" spans="1:9" x14ac:dyDescent="0.2">
      <c r="A17" t="s">
        <v>98</v>
      </c>
      <c r="C17" t="s">
        <v>128</v>
      </c>
    </row>
    <row r="18" spans="1:9" x14ac:dyDescent="0.2">
      <c r="A18" t="s">
        <v>88</v>
      </c>
      <c r="C18" t="s">
        <v>128</v>
      </c>
    </row>
    <row r="19" spans="1:9" x14ac:dyDescent="0.2">
      <c r="A19" t="s">
        <v>96</v>
      </c>
      <c r="C19" t="s">
        <v>128</v>
      </c>
    </row>
    <row r="20" spans="1:9" x14ac:dyDescent="0.2">
      <c r="A20" t="s">
        <v>89</v>
      </c>
      <c r="C20" t="s">
        <v>128</v>
      </c>
    </row>
    <row r="21" spans="1:9" x14ac:dyDescent="0.2">
      <c r="A21" t="s">
        <v>97</v>
      </c>
      <c r="C21" t="s">
        <v>128</v>
      </c>
    </row>
    <row r="22" spans="1:9" x14ac:dyDescent="0.2">
      <c r="A22" t="s">
        <v>87</v>
      </c>
      <c r="C22" t="s">
        <v>128</v>
      </c>
    </row>
    <row r="23" spans="1:9" x14ac:dyDescent="0.2">
      <c r="A23" t="s">
        <v>95</v>
      </c>
      <c r="C23" t="s">
        <v>128</v>
      </c>
    </row>
    <row r="24" spans="1:9" x14ac:dyDescent="0.2">
      <c r="A24" t="s">
        <v>86</v>
      </c>
      <c r="C24" t="s">
        <v>128</v>
      </c>
      <c r="H24" t="s">
        <v>128</v>
      </c>
      <c r="I24" t="s">
        <v>128</v>
      </c>
    </row>
    <row r="25" spans="1:9" x14ac:dyDescent="0.2">
      <c r="A25" s="3" t="s">
        <v>55</v>
      </c>
      <c r="C25" t="s">
        <v>128</v>
      </c>
      <c r="I25" t="s">
        <v>128</v>
      </c>
    </row>
    <row r="26" spans="1:9" x14ac:dyDescent="0.2">
      <c r="A26" s="3" t="s">
        <v>104</v>
      </c>
      <c r="C26" t="s">
        <v>128</v>
      </c>
      <c r="I26" t="s">
        <v>128</v>
      </c>
    </row>
    <row r="27" spans="1:9" x14ac:dyDescent="0.2">
      <c r="A27" s="3" t="s">
        <v>72</v>
      </c>
      <c r="C27" t="s">
        <v>128</v>
      </c>
    </row>
    <row r="28" spans="1:9" x14ac:dyDescent="0.2">
      <c r="A28" s="3" t="s">
        <v>59</v>
      </c>
      <c r="C28" t="s">
        <v>128</v>
      </c>
    </row>
    <row r="29" spans="1:9" x14ac:dyDescent="0.2">
      <c r="A29" s="3" t="s">
        <v>60</v>
      </c>
      <c r="C29" t="s">
        <v>128</v>
      </c>
    </row>
    <row r="30" spans="1:9" x14ac:dyDescent="0.2">
      <c r="A30" s="3" t="s">
        <v>58</v>
      </c>
      <c r="C30" t="s">
        <v>128</v>
      </c>
    </row>
    <row r="31" spans="1:9" x14ac:dyDescent="0.2">
      <c r="A31" s="3" t="s">
        <v>56</v>
      </c>
      <c r="C31" t="s">
        <v>128</v>
      </c>
      <c r="I31" t="s">
        <v>128</v>
      </c>
    </row>
    <row r="32" spans="1:9" x14ac:dyDescent="0.2">
      <c r="A32" s="3" t="s">
        <v>195</v>
      </c>
      <c r="H32" t="s">
        <v>128</v>
      </c>
    </row>
    <row r="33" spans="1:9" x14ac:dyDescent="0.2">
      <c r="A33" s="3" t="s">
        <v>194</v>
      </c>
      <c r="H33" t="s">
        <v>128</v>
      </c>
    </row>
    <row r="34" spans="1:9" x14ac:dyDescent="0.2">
      <c r="A34" t="s">
        <v>102</v>
      </c>
      <c r="C34" t="s">
        <v>128</v>
      </c>
      <c r="I34" t="s">
        <v>128</v>
      </c>
    </row>
    <row r="35" spans="1:9" x14ac:dyDescent="0.2">
      <c r="A35" t="s">
        <v>103</v>
      </c>
      <c r="C35" t="s">
        <v>128</v>
      </c>
      <c r="I35" t="s">
        <v>128</v>
      </c>
    </row>
    <row r="36" spans="1:9" x14ac:dyDescent="0.2">
      <c r="A36" t="s">
        <v>191</v>
      </c>
      <c r="G36" t="s">
        <v>128</v>
      </c>
    </row>
    <row r="37" spans="1:9" x14ac:dyDescent="0.2">
      <c r="A37" s="3" t="s">
        <v>94</v>
      </c>
      <c r="B37" t="s">
        <v>128</v>
      </c>
      <c r="D37" t="s">
        <v>128</v>
      </c>
    </row>
    <row r="38" spans="1:9" x14ac:dyDescent="0.2">
      <c r="A38" s="3" t="s">
        <v>290</v>
      </c>
      <c r="B38" t="s">
        <v>128</v>
      </c>
      <c r="C38" t="s">
        <v>128</v>
      </c>
      <c r="D38" t="s">
        <v>128</v>
      </c>
    </row>
    <row r="39" spans="1:9" x14ac:dyDescent="0.2">
      <c r="A39" s="3" t="s">
        <v>291</v>
      </c>
      <c r="B39" t="s">
        <v>128</v>
      </c>
      <c r="C39" t="s">
        <v>128</v>
      </c>
      <c r="D39" t="s">
        <v>128</v>
      </c>
    </row>
    <row r="40" spans="1:9" x14ac:dyDescent="0.2">
      <c r="A40" s="3" t="s">
        <v>293</v>
      </c>
      <c r="C40" t="s">
        <v>128</v>
      </c>
    </row>
    <row r="41" spans="1:9" x14ac:dyDescent="0.2">
      <c r="A41" s="3" t="s">
        <v>294</v>
      </c>
      <c r="C41" t="s">
        <v>128</v>
      </c>
    </row>
    <row r="42" spans="1:9" x14ac:dyDescent="0.2">
      <c r="A42" s="3" t="s">
        <v>114</v>
      </c>
      <c r="E42" t="s">
        <v>128</v>
      </c>
    </row>
    <row r="43" spans="1:9" x14ac:dyDescent="0.2">
      <c r="A43" s="3" t="s">
        <v>115</v>
      </c>
      <c r="E43" t="s">
        <v>128</v>
      </c>
    </row>
    <row r="44" spans="1:9" x14ac:dyDescent="0.2">
      <c r="A44" s="3" t="s">
        <v>41</v>
      </c>
      <c r="G44" t="s">
        <v>128</v>
      </c>
      <c r="H44" t="s">
        <v>128</v>
      </c>
    </row>
    <row r="45" spans="1:9" x14ac:dyDescent="0.2">
      <c r="A45" t="s">
        <v>190</v>
      </c>
      <c r="G45" t="s">
        <v>128</v>
      </c>
      <c r="H45" t="s">
        <v>128</v>
      </c>
    </row>
    <row r="46" spans="1:9" x14ac:dyDescent="0.2">
      <c r="A46" t="s">
        <v>189</v>
      </c>
      <c r="G46" t="s">
        <v>128</v>
      </c>
      <c r="H46" t="s">
        <v>128</v>
      </c>
    </row>
    <row r="47" spans="1:9" x14ac:dyDescent="0.2">
      <c r="A47" t="s">
        <v>188</v>
      </c>
      <c r="G47" t="s">
        <v>128</v>
      </c>
      <c r="H47" t="s">
        <v>128</v>
      </c>
    </row>
    <row r="48" spans="1:9" x14ac:dyDescent="0.2">
      <c r="A48" t="s">
        <v>186</v>
      </c>
      <c r="G48" t="s">
        <v>128</v>
      </c>
      <c r="H48" t="s">
        <v>128</v>
      </c>
    </row>
    <row r="49" spans="1:8" x14ac:dyDescent="0.2">
      <c r="A49" t="s">
        <v>187</v>
      </c>
      <c r="G49" t="s">
        <v>128</v>
      </c>
      <c r="H49" t="s">
        <v>128</v>
      </c>
    </row>
    <row r="50" spans="1:8" x14ac:dyDescent="0.2">
      <c r="A50" t="s">
        <v>192</v>
      </c>
      <c r="H50" t="s">
        <v>128</v>
      </c>
    </row>
    <row r="51" spans="1:8" x14ac:dyDescent="0.2">
      <c r="A51" s="3" t="s">
        <v>105</v>
      </c>
    </row>
    <row r="52" spans="1:8" x14ac:dyDescent="0.2">
      <c r="A52" s="73" t="s">
        <v>124</v>
      </c>
      <c r="B52" t="s">
        <v>128</v>
      </c>
      <c r="F52" t="s">
        <v>128</v>
      </c>
    </row>
    <row r="53" spans="1:8" x14ac:dyDescent="0.2">
      <c r="A53" s="73" t="s">
        <v>125</v>
      </c>
      <c r="B53" t="s">
        <v>128</v>
      </c>
      <c r="F53" t="s">
        <v>128</v>
      </c>
    </row>
    <row r="54" spans="1:8" x14ac:dyDescent="0.2">
      <c r="A54" s="73" t="s">
        <v>126</v>
      </c>
      <c r="B54" t="s">
        <v>128</v>
      </c>
      <c r="F54" t="s">
        <v>128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10" sqref="F10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7" t="s">
        <v>184</v>
      </c>
      <c r="B1" s="7" t="s">
        <v>8</v>
      </c>
      <c r="C1" s="7" t="s">
        <v>155</v>
      </c>
      <c r="D1" s="7" t="s">
        <v>168</v>
      </c>
      <c r="E1" s="7" t="s">
        <v>169</v>
      </c>
      <c r="F1" s="7" t="s">
        <v>30</v>
      </c>
      <c r="G1" s="7" t="s">
        <v>160</v>
      </c>
      <c r="H1" s="7" t="s">
        <v>165</v>
      </c>
      <c r="I1" s="7" t="s">
        <v>164</v>
      </c>
      <c r="J1" s="7" t="s">
        <v>156</v>
      </c>
      <c r="K1" s="7" t="s">
        <v>197</v>
      </c>
    </row>
    <row r="2" spans="1:11" x14ac:dyDescent="0.2">
      <c r="A2" s="7" t="s">
        <v>1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J2" s="24" t="s">
        <v>128</v>
      </c>
    </row>
    <row r="3" spans="1:11" x14ac:dyDescent="0.2">
      <c r="A3" s="7" t="s">
        <v>2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J3" s="24" t="s">
        <v>128</v>
      </c>
    </row>
    <row r="4" spans="1:11" x14ac:dyDescent="0.2">
      <c r="A4" s="7" t="s">
        <v>3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J4" s="24" t="s">
        <v>128</v>
      </c>
    </row>
    <row r="5" spans="1:11" x14ac:dyDescent="0.2">
      <c r="A5" s="7" t="s">
        <v>4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J5" s="24" t="s">
        <v>128</v>
      </c>
    </row>
    <row r="6" spans="1:11" x14ac:dyDescent="0.2">
      <c r="A6" s="7" t="s">
        <v>5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J6" s="24" t="s">
        <v>128</v>
      </c>
    </row>
    <row r="7" spans="1:11" x14ac:dyDescent="0.2">
      <c r="A7" s="7" t="s">
        <v>82</v>
      </c>
      <c r="C7" t="s">
        <v>128</v>
      </c>
      <c r="I7" t="s">
        <v>128</v>
      </c>
      <c r="J7" s="24"/>
    </row>
    <row r="8" spans="1:11" x14ac:dyDescent="0.2">
      <c r="A8" s="7" t="s">
        <v>83</v>
      </c>
      <c r="C8" t="s">
        <v>128</v>
      </c>
      <c r="I8" t="s">
        <v>128</v>
      </c>
      <c r="J8" s="24"/>
    </row>
    <row r="9" spans="1:11" x14ac:dyDescent="0.2">
      <c r="A9" s="7" t="s">
        <v>84</v>
      </c>
      <c r="C9" t="s">
        <v>128</v>
      </c>
      <c r="I9" t="s">
        <v>128</v>
      </c>
      <c r="J9" s="24"/>
    </row>
    <row r="10" spans="1:11" x14ac:dyDescent="0.2">
      <c r="A10" s="7" t="s">
        <v>85</v>
      </c>
      <c r="C10" t="s">
        <v>128</v>
      </c>
      <c r="I10" t="s">
        <v>128</v>
      </c>
      <c r="J10" s="24"/>
    </row>
    <row r="11" spans="1:11" x14ac:dyDescent="0.2">
      <c r="A11" s="7" t="s">
        <v>78</v>
      </c>
      <c r="C11" t="s">
        <v>128</v>
      </c>
    </row>
    <row r="12" spans="1:11" x14ac:dyDescent="0.2">
      <c r="A12" s="7" t="s">
        <v>79</v>
      </c>
      <c r="C12" t="s">
        <v>128</v>
      </c>
    </row>
    <row r="13" spans="1:11" x14ac:dyDescent="0.2">
      <c r="A13" s="7" t="s">
        <v>80</v>
      </c>
      <c r="C13" t="s">
        <v>128</v>
      </c>
    </row>
    <row r="14" spans="1:11" x14ac:dyDescent="0.2">
      <c r="A14" s="7" t="s">
        <v>81</v>
      </c>
      <c r="C14" t="s">
        <v>128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selection activeCell="D54" sqref="D54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5" ht="15.75" customHeight="1" x14ac:dyDescent="0.2">
      <c r="A1" s="1" t="s">
        <v>154</v>
      </c>
      <c r="B1" s="1" t="s">
        <v>159</v>
      </c>
      <c r="C1" s="1" t="s">
        <v>106</v>
      </c>
      <c r="D1" s="1" t="s">
        <v>107</v>
      </c>
    </row>
    <row r="2" spans="1:5" ht="15.75" customHeight="1" x14ac:dyDescent="0.2">
      <c r="A2" t="s">
        <v>48</v>
      </c>
      <c r="B2" s="11">
        <v>0</v>
      </c>
      <c r="C2" s="11">
        <v>0.85</v>
      </c>
      <c r="D2" s="11">
        <v>25</v>
      </c>
    </row>
    <row r="3" spans="1:5" ht="15.75" customHeight="1" x14ac:dyDescent="0.2">
      <c r="A3" s="72" t="s">
        <v>196</v>
      </c>
      <c r="B3" s="57">
        <v>0</v>
      </c>
      <c r="C3" s="11">
        <v>0.85</v>
      </c>
      <c r="D3" s="13">
        <v>0.8</v>
      </c>
      <c r="E3" s="40"/>
    </row>
    <row r="4" spans="1:5" ht="15.75" customHeight="1" x14ac:dyDescent="0.2">
      <c r="A4" s="3" t="s">
        <v>193</v>
      </c>
      <c r="B4" s="57">
        <v>0</v>
      </c>
      <c r="C4" s="11">
        <v>0.85</v>
      </c>
      <c r="D4" s="13">
        <v>1</v>
      </c>
      <c r="E4" s="3"/>
    </row>
    <row r="5" spans="1:5" ht="15.75" customHeight="1" x14ac:dyDescent="0.2">
      <c r="A5" s="3" t="s">
        <v>108</v>
      </c>
      <c r="B5" s="11">
        <v>0</v>
      </c>
      <c r="C5" s="10">
        <v>0.85</v>
      </c>
      <c r="D5" s="13">
        <f>180</f>
        <v>180</v>
      </c>
      <c r="E5" s="3"/>
    </row>
    <row r="6" spans="1:5" ht="15.75" customHeight="1" x14ac:dyDescent="0.2">
      <c r="A6" t="s">
        <v>145</v>
      </c>
      <c r="B6" s="57">
        <v>0.5</v>
      </c>
      <c r="C6" s="11">
        <v>0.85</v>
      </c>
      <c r="D6" s="13">
        <f>SUM('Programs family planning'!E2:E10)</f>
        <v>0.82100000000000006</v>
      </c>
      <c r="E6" s="34"/>
    </row>
    <row r="7" spans="1:5" ht="15.75" customHeight="1" x14ac:dyDescent="0.2">
      <c r="A7" s="9" t="s">
        <v>110</v>
      </c>
      <c r="B7" s="13">
        <v>0</v>
      </c>
      <c r="C7" s="11">
        <v>0.05</v>
      </c>
      <c r="D7" s="13">
        <v>0.14000000000000001</v>
      </c>
      <c r="E7" s="9"/>
    </row>
    <row r="8" spans="1:5" ht="15.75" customHeight="1" x14ac:dyDescent="0.2">
      <c r="A8" s="9" t="s">
        <v>111</v>
      </c>
      <c r="B8" s="13">
        <v>0</v>
      </c>
      <c r="C8" s="11">
        <v>0.8</v>
      </c>
      <c r="D8" s="13">
        <v>0.75</v>
      </c>
      <c r="E8" s="9"/>
    </row>
    <row r="9" spans="1:5" ht="15.75" customHeight="1" x14ac:dyDescent="0.2">
      <c r="A9" s="9" t="s">
        <v>109</v>
      </c>
      <c r="B9" s="13">
        <v>0</v>
      </c>
      <c r="C9" s="11">
        <v>0.12</v>
      </c>
      <c r="D9" s="13">
        <v>0.19</v>
      </c>
      <c r="E9" s="9"/>
    </row>
    <row r="10" spans="1:5" ht="15.75" customHeight="1" x14ac:dyDescent="0.2">
      <c r="A10" t="s">
        <v>91</v>
      </c>
      <c r="B10" s="13">
        <v>0</v>
      </c>
      <c r="C10" s="11">
        <v>0.85</v>
      </c>
      <c r="D10" s="11">
        <v>0.73</v>
      </c>
    </row>
    <row r="11" spans="1:5" ht="15.75" customHeight="1" x14ac:dyDescent="0.2">
      <c r="A11" t="s">
        <v>99</v>
      </c>
      <c r="B11" s="13">
        <v>0</v>
      </c>
      <c r="C11" s="11">
        <v>0.85</v>
      </c>
      <c r="D11" s="11">
        <v>0.73</v>
      </c>
    </row>
    <row r="12" spans="1:5" ht="15.75" customHeight="1" x14ac:dyDescent="0.2">
      <c r="A12" t="s">
        <v>92</v>
      </c>
      <c r="B12" s="13">
        <v>0</v>
      </c>
      <c r="C12" s="11">
        <v>0.85</v>
      </c>
      <c r="D12" s="11">
        <v>1.78</v>
      </c>
    </row>
    <row r="13" spans="1:5" ht="15.75" customHeight="1" x14ac:dyDescent="0.2">
      <c r="A13" t="s">
        <v>100</v>
      </c>
      <c r="B13" s="13">
        <v>0</v>
      </c>
      <c r="C13" s="11">
        <v>0.85</v>
      </c>
      <c r="D13" s="11">
        <v>1.78</v>
      </c>
    </row>
    <row r="14" spans="1:5" ht="15.75" customHeight="1" x14ac:dyDescent="0.2">
      <c r="A14" t="s">
        <v>93</v>
      </c>
      <c r="B14" s="13">
        <v>0</v>
      </c>
      <c r="C14" s="11">
        <v>0.85</v>
      </c>
      <c r="D14" s="11">
        <v>0.24</v>
      </c>
    </row>
    <row r="15" spans="1:5" ht="15.75" customHeight="1" x14ac:dyDescent="0.2">
      <c r="A15" t="s">
        <v>101</v>
      </c>
      <c r="B15" s="13">
        <v>0</v>
      </c>
      <c r="C15" s="11">
        <v>0.85</v>
      </c>
      <c r="D15" s="11">
        <v>0.24</v>
      </c>
    </row>
    <row r="16" spans="1:5" ht="15.75" customHeight="1" x14ac:dyDescent="0.2">
      <c r="A16" t="s">
        <v>90</v>
      </c>
      <c r="B16" s="13">
        <v>0</v>
      </c>
      <c r="C16" s="11">
        <v>0.85</v>
      </c>
      <c r="D16" s="11">
        <v>0.55000000000000004</v>
      </c>
    </row>
    <row r="17" spans="1:5" ht="15.75" customHeight="1" x14ac:dyDescent="0.2">
      <c r="A17" t="s">
        <v>98</v>
      </c>
      <c r="B17" s="13">
        <v>0</v>
      </c>
      <c r="C17" s="11">
        <v>0.85</v>
      </c>
      <c r="D17" s="11">
        <v>0.55000000000000004</v>
      </c>
    </row>
    <row r="18" spans="1:5" ht="15.75" customHeight="1" x14ac:dyDescent="0.2">
      <c r="A18" t="s">
        <v>88</v>
      </c>
      <c r="B18" s="13">
        <v>0</v>
      </c>
      <c r="C18" s="11">
        <v>0.85</v>
      </c>
      <c r="D18" s="11">
        <v>0.73</v>
      </c>
    </row>
    <row r="19" spans="1:5" ht="15.75" customHeight="1" x14ac:dyDescent="0.2">
      <c r="A19" t="s">
        <v>96</v>
      </c>
      <c r="B19" s="13">
        <v>0</v>
      </c>
      <c r="C19" s="11">
        <v>0.85</v>
      </c>
      <c r="D19" s="11">
        <v>0.73</v>
      </c>
    </row>
    <row r="20" spans="1:5" ht="15.75" customHeight="1" x14ac:dyDescent="0.2">
      <c r="A20" t="s">
        <v>89</v>
      </c>
      <c r="B20" s="13">
        <v>0</v>
      </c>
      <c r="C20" s="11">
        <v>0.85</v>
      </c>
      <c r="D20" s="11">
        <v>1.78</v>
      </c>
    </row>
    <row r="21" spans="1:5" ht="15.75" customHeight="1" x14ac:dyDescent="0.2">
      <c r="A21" t="s">
        <v>97</v>
      </c>
      <c r="B21" s="13">
        <v>0</v>
      </c>
      <c r="C21" s="11">
        <v>0.85</v>
      </c>
      <c r="D21" s="11">
        <v>1.78</v>
      </c>
    </row>
    <row r="22" spans="1:5" ht="15.75" customHeight="1" x14ac:dyDescent="0.2">
      <c r="A22" t="s">
        <v>87</v>
      </c>
      <c r="B22" s="13">
        <v>0</v>
      </c>
      <c r="C22" s="11">
        <v>0.85</v>
      </c>
      <c r="D22" s="11">
        <v>0.55000000000000004</v>
      </c>
    </row>
    <row r="23" spans="1:5" ht="15.75" customHeight="1" x14ac:dyDescent="0.2">
      <c r="A23" t="s">
        <v>95</v>
      </c>
      <c r="B23" s="13">
        <v>0</v>
      </c>
      <c r="C23" s="11">
        <v>0.85</v>
      </c>
      <c r="D23" s="11">
        <v>0.55000000000000004</v>
      </c>
    </row>
    <row r="24" spans="1:5" ht="15.75" customHeight="1" x14ac:dyDescent="0.2">
      <c r="A24" t="s">
        <v>86</v>
      </c>
      <c r="B24" s="13">
        <v>0</v>
      </c>
      <c r="C24" s="11">
        <v>0.85</v>
      </c>
      <c r="D24" s="11">
        <v>2.06</v>
      </c>
    </row>
    <row r="25" spans="1:5" ht="15.75" customHeight="1" x14ac:dyDescent="0.2">
      <c r="A25" s="3" t="s">
        <v>55</v>
      </c>
      <c r="B25" s="26">
        <v>0</v>
      </c>
      <c r="C25" s="26">
        <v>0.85</v>
      </c>
      <c r="D25" s="26">
        <v>1.78</v>
      </c>
      <c r="E25" s="3"/>
    </row>
    <row r="26" spans="1:5" ht="15.75" customHeight="1" x14ac:dyDescent="0.2">
      <c r="A26" s="3" t="s">
        <v>104</v>
      </c>
      <c r="B26" s="11">
        <v>0</v>
      </c>
      <c r="C26" s="11">
        <v>0.85</v>
      </c>
      <c r="D26" s="11">
        <v>1.78</v>
      </c>
      <c r="E26" s="3"/>
    </row>
    <row r="27" spans="1:5" ht="15.75" customHeight="1" x14ac:dyDescent="0.2">
      <c r="A27" s="3" t="s">
        <v>72</v>
      </c>
      <c r="B27" s="11">
        <v>0</v>
      </c>
      <c r="C27" s="10">
        <v>0.85</v>
      </c>
      <c r="D27" s="13">
        <v>0.25</v>
      </c>
      <c r="E27" s="3"/>
    </row>
    <row r="28" spans="1:5" ht="15.75" customHeight="1" x14ac:dyDescent="0.2">
      <c r="A28" s="3" t="s">
        <v>59</v>
      </c>
      <c r="B28" s="11">
        <v>0</v>
      </c>
      <c r="C28" s="11">
        <v>0.05</v>
      </c>
      <c r="D28" s="13">
        <v>0.13</v>
      </c>
      <c r="E28" s="3"/>
    </row>
    <row r="29" spans="1:5" ht="15.75" customHeight="1" x14ac:dyDescent="0.2">
      <c r="A29" s="3" t="s">
        <v>60</v>
      </c>
      <c r="B29" s="11">
        <v>0</v>
      </c>
      <c r="C29" s="11">
        <v>0.8</v>
      </c>
      <c r="D29" s="13">
        <v>0.74</v>
      </c>
      <c r="E29" s="3"/>
    </row>
    <row r="30" spans="1:5" ht="15.75" customHeight="1" x14ac:dyDescent="0.2">
      <c r="A30" s="3" t="s">
        <v>58</v>
      </c>
      <c r="B30" s="11">
        <v>0</v>
      </c>
      <c r="C30" s="11">
        <v>0.12</v>
      </c>
      <c r="D30" s="13">
        <v>0.18</v>
      </c>
      <c r="E30" s="3"/>
    </row>
    <row r="31" spans="1:5" ht="15.75" customHeight="1" x14ac:dyDescent="0.2">
      <c r="A31" s="3" t="s">
        <v>56</v>
      </c>
      <c r="B31" s="11">
        <v>0.2</v>
      </c>
      <c r="C31" s="11">
        <v>0.85</v>
      </c>
      <c r="D31" s="13">
        <v>2.61</v>
      </c>
    </row>
    <row r="32" spans="1:5" ht="15.75" customHeight="1" x14ac:dyDescent="0.2">
      <c r="A32" s="3" t="s">
        <v>195</v>
      </c>
      <c r="B32" s="57">
        <v>0</v>
      </c>
      <c r="C32" s="11">
        <v>0.85</v>
      </c>
      <c r="D32" s="18">
        <v>1</v>
      </c>
    </row>
    <row r="33" spans="1:5" ht="15.75" customHeight="1" x14ac:dyDescent="0.2">
      <c r="A33" s="3" t="s">
        <v>194</v>
      </c>
      <c r="B33" s="57">
        <v>0</v>
      </c>
      <c r="C33" s="11">
        <v>0.85</v>
      </c>
      <c r="D33" s="18">
        <v>1</v>
      </c>
    </row>
    <row r="34" spans="1:5" ht="15.75" customHeight="1" x14ac:dyDescent="0.2">
      <c r="A34" t="s">
        <v>102</v>
      </c>
      <c r="B34" s="26">
        <v>0</v>
      </c>
      <c r="C34" s="26">
        <v>0.85</v>
      </c>
      <c r="D34" s="26">
        <v>2.99</v>
      </c>
      <c r="E34" s="3"/>
    </row>
    <row r="35" spans="1:5" ht="15.75" customHeight="1" x14ac:dyDescent="0.2">
      <c r="A35" t="s">
        <v>103</v>
      </c>
      <c r="B35" s="11">
        <v>0</v>
      </c>
      <c r="C35" s="11">
        <v>0.85</v>
      </c>
      <c r="D35" s="11">
        <v>2.99</v>
      </c>
      <c r="E35" s="3"/>
    </row>
    <row r="36" spans="1:5" ht="15.75" customHeight="1" x14ac:dyDescent="0.2">
      <c r="A36" t="s">
        <v>191</v>
      </c>
      <c r="B36" s="57">
        <v>0</v>
      </c>
      <c r="C36" s="11">
        <v>0.85</v>
      </c>
      <c r="D36" s="13">
        <v>1</v>
      </c>
      <c r="E36" s="3"/>
    </row>
    <row r="37" spans="1:5" ht="15.75" customHeight="1" x14ac:dyDescent="0.2">
      <c r="A37" s="3" t="s">
        <v>94</v>
      </c>
      <c r="B37" s="11">
        <v>0</v>
      </c>
      <c r="C37" s="11">
        <v>0.85</v>
      </c>
      <c r="D37" s="11">
        <v>48</v>
      </c>
      <c r="E37" s="3"/>
    </row>
    <row r="38" spans="1:5" ht="15.75" customHeight="1" x14ac:dyDescent="0.2">
      <c r="A38" s="3" t="s">
        <v>290</v>
      </c>
      <c r="B38" s="25">
        <v>0</v>
      </c>
      <c r="C38" s="25">
        <v>0.85</v>
      </c>
      <c r="D38" s="58">
        <v>50</v>
      </c>
      <c r="E38" s="17"/>
    </row>
    <row r="39" spans="1:5" ht="15.75" customHeight="1" x14ac:dyDescent="0.2">
      <c r="A39" s="3" t="s">
        <v>291</v>
      </c>
      <c r="B39" s="18">
        <v>0</v>
      </c>
      <c r="C39" s="18">
        <v>0.85</v>
      </c>
      <c r="D39" s="13">
        <v>51</v>
      </c>
      <c r="E39" s="3"/>
    </row>
    <row r="40" spans="1:5" ht="15.75" customHeight="1" x14ac:dyDescent="0.2">
      <c r="A40" s="3" t="s">
        <v>293</v>
      </c>
      <c r="B40" s="25">
        <v>0</v>
      </c>
      <c r="C40" s="25">
        <v>0.85</v>
      </c>
      <c r="D40" s="58">
        <v>1</v>
      </c>
      <c r="E40" s="3"/>
    </row>
    <row r="41" spans="1:5" ht="15.75" customHeight="1" x14ac:dyDescent="0.2">
      <c r="A41" s="17" t="s">
        <v>294</v>
      </c>
      <c r="B41" s="18">
        <v>0</v>
      </c>
      <c r="C41" s="18">
        <v>0.85</v>
      </c>
      <c r="D41" s="13">
        <v>1</v>
      </c>
      <c r="E41" s="3"/>
    </row>
    <row r="42" spans="1:5" ht="15.75" customHeight="1" x14ac:dyDescent="0.2">
      <c r="A42" s="3" t="s">
        <v>114</v>
      </c>
      <c r="B42" s="11">
        <v>0</v>
      </c>
      <c r="C42" s="10">
        <v>0.85</v>
      </c>
      <c r="D42" s="13">
        <f>30*AVERAGE('Incidence of conditions'!B5:F5)</f>
        <v>10.046400000000002</v>
      </c>
    </row>
    <row r="43" spans="1:5" ht="15.75" customHeight="1" x14ac:dyDescent="0.2">
      <c r="A43" s="3" t="s">
        <v>115</v>
      </c>
      <c r="B43" s="11">
        <v>0.61</v>
      </c>
      <c r="C43" s="10">
        <v>0.85</v>
      </c>
      <c r="D43" s="13">
        <f>179.97*AVERAGE('Incidence of conditions'!B6:F6)</f>
        <v>19.933477200000002</v>
      </c>
    </row>
    <row r="44" spans="1:5" ht="15.75" customHeight="1" x14ac:dyDescent="0.2">
      <c r="A44" s="3" t="s">
        <v>41</v>
      </c>
      <c r="B44" s="11">
        <v>0.621</v>
      </c>
      <c r="C44" s="11">
        <v>0.85</v>
      </c>
      <c r="D44" s="11">
        <v>0.35</v>
      </c>
    </row>
    <row r="45" spans="1:5" ht="15.75" customHeight="1" x14ac:dyDescent="0.2">
      <c r="A45" t="s">
        <v>190</v>
      </c>
      <c r="B45" s="57">
        <v>0.4</v>
      </c>
      <c r="C45" s="10">
        <v>0.85</v>
      </c>
      <c r="D45" s="13">
        <v>1</v>
      </c>
    </row>
    <row r="46" spans="1:5" ht="15.75" customHeight="1" x14ac:dyDescent="0.2">
      <c r="A46" t="s">
        <v>189</v>
      </c>
      <c r="B46" s="57">
        <v>0.38700000000000001</v>
      </c>
      <c r="C46" s="10">
        <v>0.85</v>
      </c>
      <c r="D46" s="13">
        <v>2.8</v>
      </c>
    </row>
    <row r="47" spans="1:5" ht="15.75" customHeight="1" x14ac:dyDescent="0.2">
      <c r="A47" t="s">
        <v>188</v>
      </c>
      <c r="B47" s="57">
        <v>0.69</v>
      </c>
      <c r="C47" s="10">
        <v>0.85</v>
      </c>
      <c r="D47" s="13">
        <v>50.26</v>
      </c>
    </row>
    <row r="48" spans="1:5" ht="15.75" customHeight="1" x14ac:dyDescent="0.2">
      <c r="A48" t="s">
        <v>186</v>
      </c>
      <c r="B48" s="57">
        <v>0.84</v>
      </c>
      <c r="C48" s="10">
        <v>0.85</v>
      </c>
      <c r="D48" s="13">
        <v>36.1</v>
      </c>
    </row>
    <row r="49" spans="1:4" ht="15.75" customHeight="1" x14ac:dyDescent="0.2">
      <c r="A49" t="s">
        <v>187</v>
      </c>
      <c r="B49" s="57">
        <v>0.14000000000000001</v>
      </c>
      <c r="C49" s="10">
        <v>0.85</v>
      </c>
      <c r="D49" s="13">
        <v>231.85</v>
      </c>
    </row>
    <row r="50" spans="1:4" ht="15.75" customHeight="1" x14ac:dyDescent="0.2">
      <c r="A50" t="s">
        <v>192</v>
      </c>
      <c r="B50" s="57">
        <v>0</v>
      </c>
      <c r="C50" s="11">
        <v>0.85</v>
      </c>
      <c r="D50" s="13">
        <v>1.5</v>
      </c>
    </row>
    <row r="51" spans="1:4" ht="15.75" customHeight="1" x14ac:dyDescent="0.2">
      <c r="A51" s="3" t="s">
        <v>105</v>
      </c>
      <c r="B51" s="11">
        <v>0</v>
      </c>
      <c r="C51" s="11">
        <v>0.85</v>
      </c>
      <c r="D51" s="11">
        <v>1</v>
      </c>
    </row>
    <row r="52" spans="1:4" s="8" customFormat="1" ht="15.75" customHeight="1" x14ac:dyDescent="0.2">
      <c r="A52" s="81" t="s">
        <v>124</v>
      </c>
      <c r="B52" s="41">
        <v>0</v>
      </c>
      <c r="C52" s="42">
        <v>0.95</v>
      </c>
      <c r="D52" s="43" t="s">
        <v>198</v>
      </c>
    </row>
    <row r="53" spans="1:4" ht="15.75" customHeight="1" x14ac:dyDescent="0.2">
      <c r="A53" s="82" t="s">
        <v>125</v>
      </c>
      <c r="B53" s="83">
        <v>0</v>
      </c>
      <c r="C53">
        <v>0.95</v>
      </c>
      <c r="D53" s="43" t="s">
        <v>198</v>
      </c>
    </row>
    <row r="54" spans="1:4" ht="15.75" customHeight="1" x14ac:dyDescent="0.2">
      <c r="A54" s="82" t="s">
        <v>126</v>
      </c>
      <c r="B54" s="83">
        <v>0</v>
      </c>
      <c r="C54">
        <v>0.95</v>
      </c>
      <c r="D54" s="43" t="s">
        <v>198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G27"/>
  <sheetViews>
    <sheetView zoomScale="115" zoomScaleNormal="115" workbookViewId="0">
      <selection activeCell="D27" sqref="D27"/>
    </sheetView>
  </sheetViews>
  <sheetFormatPr defaultColWidth="14.42578125" defaultRowHeight="15.75" customHeight="1" x14ac:dyDescent="0.2"/>
  <cols>
    <col min="1" max="1" width="31.28515625" customWidth="1"/>
    <col min="2" max="7" width="13" customWidth="1"/>
  </cols>
  <sheetData>
    <row r="1" spans="1:7" ht="27.75" customHeight="1" x14ac:dyDescent="0.2">
      <c r="A1" s="61" t="s">
        <v>230</v>
      </c>
      <c r="B1" s="99" t="s">
        <v>1</v>
      </c>
      <c r="C1" s="99" t="s">
        <v>2</v>
      </c>
      <c r="D1" s="99" t="s">
        <v>3</v>
      </c>
      <c r="E1" s="99" t="s">
        <v>4</v>
      </c>
      <c r="F1" s="99" t="s">
        <v>5</v>
      </c>
      <c r="G1" s="99" t="s">
        <v>53</v>
      </c>
    </row>
    <row r="2" spans="1:7" ht="15.75" customHeight="1" x14ac:dyDescent="0.2">
      <c r="A2" s="100" t="s">
        <v>163</v>
      </c>
      <c r="B2" s="101">
        <v>7.0000000000000001E-3</v>
      </c>
      <c r="C2" s="102">
        <v>0</v>
      </c>
      <c r="D2" s="102">
        <v>0</v>
      </c>
      <c r="E2" s="102">
        <v>0</v>
      </c>
      <c r="F2" s="102">
        <v>0</v>
      </c>
      <c r="G2" s="102">
        <v>0</v>
      </c>
    </row>
    <row r="3" spans="1:7" ht="15.75" customHeight="1" x14ac:dyDescent="0.2">
      <c r="A3" s="100" t="s">
        <v>10</v>
      </c>
      <c r="B3" s="101">
        <v>0.19900000000000001</v>
      </c>
      <c r="C3" s="102">
        <v>0</v>
      </c>
      <c r="D3" s="102">
        <v>0</v>
      </c>
      <c r="E3" s="102">
        <v>0</v>
      </c>
      <c r="F3" s="102">
        <v>0</v>
      </c>
      <c r="G3" s="102">
        <v>0</v>
      </c>
    </row>
    <row r="4" spans="1:7" ht="15.75" customHeight="1" x14ac:dyDescent="0.2">
      <c r="A4" s="100" t="s">
        <v>11</v>
      </c>
      <c r="B4" s="101">
        <v>5.8999999999999997E-2</v>
      </c>
      <c r="C4" s="102">
        <v>0</v>
      </c>
      <c r="D4" s="102">
        <v>0</v>
      </c>
      <c r="E4" s="102">
        <v>0</v>
      </c>
      <c r="F4" s="102">
        <v>0</v>
      </c>
      <c r="G4" s="102">
        <v>0</v>
      </c>
    </row>
    <row r="5" spans="1:7" ht="15.75" customHeight="1" x14ac:dyDescent="0.2">
      <c r="A5" s="100" t="s">
        <v>13</v>
      </c>
      <c r="B5" s="101">
        <v>0.22900000000000001</v>
      </c>
      <c r="C5" s="102">
        <v>0</v>
      </c>
      <c r="D5" s="102">
        <v>0</v>
      </c>
      <c r="E5" s="102">
        <v>0</v>
      </c>
      <c r="F5" s="102">
        <v>0</v>
      </c>
      <c r="G5" s="102">
        <v>0</v>
      </c>
    </row>
    <row r="6" spans="1:7" ht="15.75" customHeight="1" x14ac:dyDescent="0.2">
      <c r="A6" s="100" t="s">
        <v>16</v>
      </c>
      <c r="B6" s="101">
        <v>0.29699999999999999</v>
      </c>
      <c r="C6" s="102">
        <v>0</v>
      </c>
      <c r="D6" s="102">
        <v>0</v>
      </c>
      <c r="E6" s="102">
        <v>0</v>
      </c>
      <c r="F6" s="102">
        <v>0</v>
      </c>
      <c r="G6" s="102">
        <v>0</v>
      </c>
    </row>
    <row r="7" spans="1:7" ht="15.75" customHeight="1" x14ac:dyDescent="0.2">
      <c r="A7" s="100" t="s">
        <v>17</v>
      </c>
      <c r="B7" s="101">
        <v>6.0000000000000001E-3</v>
      </c>
      <c r="C7" s="102">
        <v>0</v>
      </c>
      <c r="D7" s="102">
        <v>0</v>
      </c>
      <c r="E7" s="102">
        <v>0</v>
      </c>
      <c r="F7" s="102">
        <v>0</v>
      </c>
      <c r="G7" s="102">
        <v>0</v>
      </c>
    </row>
    <row r="8" spans="1:7" ht="15.75" customHeight="1" x14ac:dyDescent="0.2">
      <c r="A8" s="100" t="s">
        <v>37</v>
      </c>
      <c r="B8" s="101">
        <v>0.127</v>
      </c>
      <c r="C8" s="102">
        <v>0</v>
      </c>
      <c r="D8" s="102">
        <v>0</v>
      </c>
      <c r="E8" s="102">
        <v>0</v>
      </c>
      <c r="F8" s="102">
        <v>0</v>
      </c>
      <c r="G8" s="102">
        <v>0</v>
      </c>
    </row>
    <row r="9" spans="1:7" ht="15.75" customHeight="1" x14ac:dyDescent="0.2">
      <c r="A9" s="100" t="s">
        <v>19</v>
      </c>
      <c r="B9" s="101">
        <v>7.5999999999999998E-2</v>
      </c>
      <c r="C9" s="102">
        <v>0</v>
      </c>
      <c r="D9" s="102">
        <v>0</v>
      </c>
      <c r="E9" s="102">
        <v>0</v>
      </c>
      <c r="F9" s="102">
        <v>0</v>
      </c>
      <c r="G9" s="102">
        <v>0</v>
      </c>
    </row>
    <row r="10" spans="1:7" ht="15.75" customHeight="1" x14ac:dyDescent="0.2">
      <c r="A10" s="100" t="s">
        <v>160</v>
      </c>
      <c r="B10" s="102">
        <v>0</v>
      </c>
      <c r="C10" s="101">
        <f>14.81% * 0.2</f>
        <v>2.9620000000000004E-2</v>
      </c>
      <c r="D10" s="101">
        <v>0.14810000000000001</v>
      </c>
      <c r="E10" s="101">
        <v>0.14810000000000001</v>
      </c>
      <c r="F10" s="101">
        <v>0.14810000000000001</v>
      </c>
      <c r="G10" s="102">
        <v>0</v>
      </c>
    </row>
    <row r="11" spans="1:7" ht="15.75" customHeight="1" x14ac:dyDescent="0.2">
      <c r="A11" s="100" t="s">
        <v>22</v>
      </c>
      <c r="B11" s="102">
        <v>0</v>
      </c>
      <c r="C11" s="101">
        <v>0.2883</v>
      </c>
      <c r="D11" s="101">
        <v>0.2883</v>
      </c>
      <c r="E11" s="101">
        <v>0.2883</v>
      </c>
      <c r="F11" s="101">
        <v>0.2883</v>
      </c>
      <c r="G11" s="102">
        <v>0</v>
      </c>
    </row>
    <row r="12" spans="1:7" ht="15.75" customHeight="1" x14ac:dyDescent="0.2">
      <c r="A12" s="100" t="s">
        <v>23</v>
      </c>
      <c r="B12" s="102">
        <v>0</v>
      </c>
      <c r="C12" s="101">
        <v>4.1000000000000002E-2</v>
      </c>
      <c r="D12" s="101">
        <v>4.1000000000000002E-2</v>
      </c>
      <c r="E12" s="101">
        <v>4.1000000000000002E-2</v>
      </c>
      <c r="F12" s="101">
        <v>4.1000000000000002E-2</v>
      </c>
      <c r="G12" s="102">
        <v>0</v>
      </c>
    </row>
    <row r="13" spans="1:7" ht="15.75" customHeight="1" x14ac:dyDescent="0.2">
      <c r="A13" s="100" t="s">
        <v>24</v>
      </c>
      <c r="B13" s="102">
        <v>0</v>
      </c>
      <c r="C13" s="101">
        <v>5.0099999999999999E-2</v>
      </c>
      <c r="D13" s="101">
        <v>5.0099999999999999E-2</v>
      </c>
      <c r="E13" s="101">
        <v>5.0099999999999999E-2</v>
      </c>
      <c r="F13" s="101">
        <v>5.0099999999999999E-2</v>
      </c>
      <c r="G13" s="102">
        <v>0</v>
      </c>
    </row>
    <row r="14" spans="1:7" ht="15.75" customHeight="1" x14ac:dyDescent="0.2">
      <c r="A14" s="100" t="s">
        <v>25</v>
      </c>
      <c r="B14" s="102">
        <v>0</v>
      </c>
      <c r="C14" s="101">
        <v>6.0000000000000001E-3</v>
      </c>
      <c r="D14" s="101">
        <v>6.0000000000000001E-3</v>
      </c>
      <c r="E14" s="101">
        <v>6.0000000000000001E-3</v>
      </c>
      <c r="F14" s="101">
        <v>6.0000000000000001E-3</v>
      </c>
      <c r="G14" s="102">
        <v>0</v>
      </c>
    </row>
    <row r="15" spans="1:7" ht="15.75" customHeight="1" x14ac:dyDescent="0.2">
      <c r="A15" s="100" t="s">
        <v>26</v>
      </c>
      <c r="B15" s="102">
        <v>0</v>
      </c>
      <c r="C15" s="101">
        <v>0.01</v>
      </c>
      <c r="D15" s="101">
        <v>0.01</v>
      </c>
      <c r="E15" s="101">
        <v>0.01</v>
      </c>
      <c r="F15" s="101">
        <v>0.01</v>
      </c>
      <c r="G15" s="102">
        <v>0</v>
      </c>
    </row>
    <row r="16" spans="1:7" ht="15.75" customHeight="1" x14ac:dyDescent="0.2">
      <c r="A16" s="100" t="s">
        <v>27</v>
      </c>
      <c r="B16" s="102">
        <v>0</v>
      </c>
      <c r="C16" s="101">
        <v>0</v>
      </c>
      <c r="D16" s="101">
        <v>0</v>
      </c>
      <c r="E16" s="101">
        <v>0</v>
      </c>
      <c r="F16" s="101">
        <v>0</v>
      </c>
      <c r="G16" s="102">
        <v>0</v>
      </c>
    </row>
    <row r="17" spans="1:7" ht="15.75" customHeight="1" x14ac:dyDescent="0.2">
      <c r="A17" s="100" t="s">
        <v>28</v>
      </c>
      <c r="B17" s="102">
        <v>0</v>
      </c>
      <c r="C17" s="101">
        <v>0.14510000000000001</v>
      </c>
      <c r="D17" s="101">
        <v>0.14510000000000001</v>
      </c>
      <c r="E17" s="101">
        <v>0.14510000000000001</v>
      </c>
      <c r="F17" s="101">
        <v>0.14510000000000001</v>
      </c>
      <c r="G17" s="102">
        <v>0</v>
      </c>
    </row>
    <row r="18" spans="1:7" ht="15.75" customHeight="1" x14ac:dyDescent="0.2">
      <c r="A18" s="100" t="s">
        <v>29</v>
      </c>
      <c r="B18" s="102">
        <v>0</v>
      </c>
      <c r="C18" s="101">
        <v>0.31130000000000002</v>
      </c>
      <c r="D18" s="101">
        <v>0.31130000000000002</v>
      </c>
      <c r="E18" s="101">
        <v>0.31130000000000002</v>
      </c>
      <c r="F18" s="101">
        <v>0.31130000000000002</v>
      </c>
      <c r="G18" s="102">
        <v>0</v>
      </c>
    </row>
    <row r="19" spans="1:7" ht="15.75" customHeight="1" x14ac:dyDescent="0.2">
      <c r="A19" s="100" t="s">
        <v>63</v>
      </c>
      <c r="B19" s="102">
        <v>0</v>
      </c>
      <c r="C19" s="102">
        <v>0</v>
      </c>
      <c r="D19" s="102">
        <v>0</v>
      </c>
      <c r="E19" s="102">
        <v>0</v>
      </c>
      <c r="F19" s="102">
        <v>0</v>
      </c>
      <c r="G19" s="103">
        <v>2.5899999999999999E-2</v>
      </c>
    </row>
    <row r="20" spans="1:7" ht="15.75" customHeight="1" x14ac:dyDescent="0.2">
      <c r="A20" s="100" t="s">
        <v>64</v>
      </c>
      <c r="B20" s="102">
        <v>0</v>
      </c>
      <c r="C20" s="102">
        <v>0</v>
      </c>
      <c r="D20" s="102">
        <v>0</v>
      </c>
      <c r="E20" s="102">
        <v>0</v>
      </c>
      <c r="F20" s="102">
        <v>0</v>
      </c>
      <c r="G20" s="103">
        <v>7.1000000000000004E-3</v>
      </c>
    </row>
    <row r="21" spans="1:7" ht="15.75" customHeight="1" x14ac:dyDescent="0.2">
      <c r="A21" s="100" t="s">
        <v>65</v>
      </c>
      <c r="B21" s="102">
        <v>0</v>
      </c>
      <c r="C21" s="102">
        <v>0</v>
      </c>
      <c r="D21" s="102">
        <v>0</v>
      </c>
      <c r="E21" s="102">
        <v>0</v>
      </c>
      <c r="F21" s="102">
        <v>0</v>
      </c>
      <c r="G21" s="103">
        <v>0.25590000000000002</v>
      </c>
    </row>
    <row r="22" spans="1:7" ht="15.75" customHeight="1" x14ac:dyDescent="0.2">
      <c r="A22" s="100" t="s">
        <v>66</v>
      </c>
      <c r="B22" s="102">
        <v>0</v>
      </c>
      <c r="C22" s="102">
        <v>0</v>
      </c>
      <c r="D22" s="102">
        <v>0</v>
      </c>
      <c r="E22" s="102">
        <v>0</v>
      </c>
      <c r="F22" s="102">
        <v>0</v>
      </c>
      <c r="G22" s="103">
        <v>0.1464</v>
      </c>
    </row>
    <row r="23" spans="1:7" ht="15.75" customHeight="1" x14ac:dyDescent="0.2">
      <c r="A23" s="100" t="s">
        <v>67</v>
      </c>
      <c r="B23" s="102">
        <v>0</v>
      </c>
      <c r="C23" s="102">
        <v>0</v>
      </c>
      <c r="D23" s="102">
        <v>0</v>
      </c>
      <c r="E23" s="102">
        <v>0</v>
      </c>
      <c r="F23" s="102">
        <v>0</v>
      </c>
      <c r="G23" s="103">
        <v>1.7600000000000001E-2</v>
      </c>
    </row>
    <row r="24" spans="1:7" ht="15.75" customHeight="1" x14ac:dyDescent="0.2">
      <c r="A24" s="100" t="s">
        <v>68</v>
      </c>
      <c r="B24" s="102">
        <v>0</v>
      </c>
      <c r="C24" s="102">
        <v>0</v>
      </c>
      <c r="D24" s="102">
        <v>0</v>
      </c>
      <c r="E24" s="102">
        <v>0</v>
      </c>
      <c r="F24" s="102">
        <v>0</v>
      </c>
      <c r="G24" s="103">
        <v>1.8100000000000002E-2</v>
      </c>
    </row>
    <row r="25" spans="1:7" ht="15.75" customHeight="1" x14ac:dyDescent="0.2">
      <c r="A25" s="100" t="s">
        <v>69</v>
      </c>
      <c r="B25" s="102">
        <v>0</v>
      </c>
      <c r="C25" s="102">
        <v>0</v>
      </c>
      <c r="D25" s="102">
        <v>0</v>
      </c>
      <c r="E25" s="102">
        <v>0</v>
      </c>
      <c r="F25" s="102">
        <v>0</v>
      </c>
      <c r="G25" s="103">
        <v>1.14E-2</v>
      </c>
    </row>
    <row r="26" spans="1:7" ht="15.75" customHeight="1" x14ac:dyDescent="0.2">
      <c r="A26" s="100" t="s">
        <v>70</v>
      </c>
      <c r="B26" s="102">
        <v>0</v>
      </c>
      <c r="C26" s="102">
        <v>0</v>
      </c>
      <c r="D26" s="102">
        <v>0</v>
      </c>
      <c r="E26" s="102">
        <v>0</v>
      </c>
      <c r="F26" s="102">
        <v>0</v>
      </c>
      <c r="G26" s="103">
        <v>0.15129999999999999</v>
      </c>
    </row>
    <row r="27" spans="1:7" ht="15.75" customHeight="1" x14ac:dyDescent="0.2">
      <c r="A27" s="100" t="s">
        <v>71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3">
        <v>0.36630000000000001</v>
      </c>
    </row>
  </sheetData>
  <phoneticPr fontId="10" type="noConversion"/>
  <pageMargins left="0.75" right="0.75" top="1" bottom="1" header="0.5" footer="0.5"/>
  <pageSetup paperSize="9" scale="69" orientation="portrait" horizontalDpi="4294967292" verticalDpi="429496729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7"/>
  <sheetViews>
    <sheetView topLeftCell="A58" workbookViewId="0">
      <selection activeCell="A21" sqref="A21"/>
    </sheetView>
  </sheetViews>
  <sheetFormatPr defaultColWidth="11.42578125" defaultRowHeight="12.75" x14ac:dyDescent="0.2"/>
  <cols>
    <col min="1" max="1" width="56.42578125" bestFit="1" customWidth="1"/>
  </cols>
  <sheetData>
    <row r="1" spans="1:25" x14ac:dyDescent="0.2">
      <c r="A1" s="7" t="s">
        <v>154</v>
      </c>
      <c r="B1" s="7" t="s">
        <v>199</v>
      </c>
      <c r="C1" s="60">
        <f>'[1]Baseline year demographics'!$C2+1</f>
        <v>2017</v>
      </c>
      <c r="D1" s="60">
        <f>C1+1</f>
        <v>2018</v>
      </c>
      <c r="E1" s="60">
        <f t="shared" ref="E1:P1" si="0">D1+1</f>
        <v>2019</v>
      </c>
      <c r="F1" s="60">
        <f t="shared" si="0"/>
        <v>2020</v>
      </c>
      <c r="G1" s="60">
        <f t="shared" si="0"/>
        <v>2021</v>
      </c>
      <c r="H1" s="60">
        <f t="shared" si="0"/>
        <v>2022</v>
      </c>
      <c r="I1" s="60">
        <f t="shared" si="0"/>
        <v>2023</v>
      </c>
      <c r="J1" s="60">
        <f t="shared" si="0"/>
        <v>2024</v>
      </c>
      <c r="K1" s="60">
        <f t="shared" si="0"/>
        <v>2025</v>
      </c>
      <c r="L1" s="60">
        <f t="shared" si="0"/>
        <v>2026</v>
      </c>
      <c r="M1" s="60">
        <f t="shared" si="0"/>
        <v>2027</v>
      </c>
      <c r="N1" s="60">
        <f t="shared" si="0"/>
        <v>2028</v>
      </c>
      <c r="O1" s="60">
        <f t="shared" si="0"/>
        <v>2029</v>
      </c>
      <c r="P1" s="60">
        <f t="shared" si="0"/>
        <v>2030</v>
      </c>
      <c r="Q1" s="60"/>
      <c r="R1" s="60"/>
      <c r="S1" s="60"/>
      <c r="T1" s="60"/>
      <c r="U1" s="60"/>
      <c r="V1" s="60"/>
      <c r="W1" s="60"/>
      <c r="X1" s="60"/>
      <c r="Y1" s="60"/>
    </row>
    <row r="2" spans="1:25" x14ac:dyDescent="0.2">
      <c r="A2" t="str">
        <f>'[1]Programs to include'!A2</f>
        <v>Balanced energy-protein supplementation</v>
      </c>
      <c r="B2" s="80" t="s">
        <v>200</v>
      </c>
      <c r="C2" s="20"/>
    </row>
    <row r="3" spans="1:25" x14ac:dyDescent="0.2">
      <c r="A3" t="str">
        <f>A2</f>
        <v>Balanced energy-protein supplementation</v>
      </c>
      <c r="B3" s="80" t="s">
        <v>201</v>
      </c>
      <c r="C3" s="20"/>
    </row>
    <row r="4" spans="1:25" x14ac:dyDescent="0.2">
      <c r="A4" t="str">
        <f>'[1]Programs to include'!A3</f>
        <v>Birth age program</v>
      </c>
      <c r="B4" s="80" t="s">
        <v>200</v>
      </c>
      <c r="C4" s="20"/>
    </row>
    <row r="5" spans="1:25" x14ac:dyDescent="0.2">
      <c r="A5" t="str">
        <f>A4</f>
        <v>Birth age program</v>
      </c>
      <c r="B5" s="80" t="s">
        <v>201</v>
      </c>
      <c r="C5" s="20"/>
    </row>
    <row r="6" spans="1:25" x14ac:dyDescent="0.2">
      <c r="A6" t="str">
        <f>'[1]Programs to include'!A4</f>
        <v>Calcium supplementation</v>
      </c>
      <c r="B6" s="80" t="s">
        <v>200</v>
      </c>
      <c r="C6" s="20"/>
    </row>
    <row r="7" spans="1:25" x14ac:dyDescent="0.2">
      <c r="A7" t="str">
        <f>A6</f>
        <v>Calcium supplementation</v>
      </c>
      <c r="B7" s="80" t="s">
        <v>201</v>
      </c>
      <c r="C7" s="20"/>
    </row>
    <row r="8" spans="1:25" x14ac:dyDescent="0.2">
      <c r="A8" t="str">
        <f>'[1]Programs to include'!A5</f>
        <v>Cash transfers</v>
      </c>
      <c r="B8" s="80" t="s">
        <v>200</v>
      </c>
      <c r="C8" s="20"/>
    </row>
    <row r="9" spans="1:25" x14ac:dyDescent="0.2">
      <c r="A9" t="str">
        <f>A8</f>
        <v>Cash transfers</v>
      </c>
      <c r="B9" s="80" t="s">
        <v>201</v>
      </c>
      <c r="C9" s="20"/>
    </row>
    <row r="10" spans="1:25" x14ac:dyDescent="0.2">
      <c r="A10" t="str">
        <f>'[1]Programs to include'!A6</f>
        <v>Family Planning</v>
      </c>
      <c r="B10" s="80" t="s">
        <v>200</v>
      </c>
      <c r="C10" s="20"/>
    </row>
    <row r="11" spans="1:25" x14ac:dyDescent="0.2">
      <c r="A11" t="str">
        <f>A10</f>
        <v>Family Planning</v>
      </c>
      <c r="B11" s="80" t="s">
        <v>201</v>
      </c>
      <c r="C11" s="20"/>
    </row>
    <row r="12" spans="1:25" x14ac:dyDescent="0.2">
      <c r="A12" t="str">
        <f>'[1]Programs to include'!A7</f>
        <v>IFA fortification of maize</v>
      </c>
      <c r="B12" s="80" t="s">
        <v>200</v>
      </c>
      <c r="C12" s="20"/>
    </row>
    <row r="13" spans="1:25" x14ac:dyDescent="0.2">
      <c r="A13" t="str">
        <f>A12</f>
        <v>IFA fortification of maize</v>
      </c>
      <c r="B13" s="80" t="s">
        <v>201</v>
      </c>
      <c r="C13" s="20"/>
    </row>
    <row r="14" spans="1:25" x14ac:dyDescent="0.2">
      <c r="A14" t="str">
        <f>'[1]Programs to include'!A8</f>
        <v>IFA fortification of rice</v>
      </c>
      <c r="B14" s="80" t="s">
        <v>200</v>
      </c>
      <c r="C14" s="20"/>
    </row>
    <row r="15" spans="1:25" x14ac:dyDescent="0.2">
      <c r="A15" t="str">
        <f>A14</f>
        <v>IFA fortification of rice</v>
      </c>
      <c r="B15" s="80" t="s">
        <v>201</v>
      </c>
      <c r="C15" s="20"/>
    </row>
    <row r="16" spans="1:25" x14ac:dyDescent="0.2">
      <c r="A16" t="str">
        <f>'[1]Programs to include'!A9</f>
        <v>IFA fortification of wheat flour</v>
      </c>
      <c r="B16" s="80" t="s">
        <v>200</v>
      </c>
      <c r="C16" s="20"/>
    </row>
    <row r="17" spans="1:3" x14ac:dyDescent="0.2">
      <c r="A17" t="str">
        <f>A16</f>
        <v>IFA fortification of wheat flour</v>
      </c>
      <c r="B17" s="80" t="s">
        <v>201</v>
      </c>
      <c r="C17" s="20"/>
    </row>
    <row r="18" spans="1:3" x14ac:dyDescent="0.2">
      <c r="A18" t="str">
        <f>'[1]Programs to include'!A10</f>
        <v>IFAS not poor: community</v>
      </c>
      <c r="B18" s="80" t="s">
        <v>200</v>
      </c>
      <c r="C18" s="20"/>
    </row>
    <row r="19" spans="1:3" x14ac:dyDescent="0.2">
      <c r="A19" t="str">
        <f>A18</f>
        <v>IFAS not poor: community</v>
      </c>
      <c r="B19" s="80" t="s">
        <v>201</v>
      </c>
      <c r="C19" s="20"/>
    </row>
    <row r="20" spans="1:3" x14ac:dyDescent="0.2">
      <c r="A20" t="str">
        <f>'[1]Programs to include'!A11</f>
        <v>IFAS not poor: community (malaria area)</v>
      </c>
      <c r="B20" s="80" t="s">
        <v>200</v>
      </c>
      <c r="C20" s="20"/>
    </row>
    <row r="21" spans="1:3" x14ac:dyDescent="0.2">
      <c r="A21" t="str">
        <f>A20</f>
        <v>IFAS not poor: community (malaria area)</v>
      </c>
      <c r="B21" s="80" t="s">
        <v>201</v>
      </c>
      <c r="C21" s="20"/>
    </row>
    <row r="22" spans="1:3" x14ac:dyDescent="0.2">
      <c r="A22" t="str">
        <f>'[1]Programs to include'!A12</f>
        <v>IFAS not poor: hospital</v>
      </c>
      <c r="B22" s="80" t="s">
        <v>200</v>
      </c>
      <c r="C22" s="20"/>
    </row>
    <row r="23" spans="1:3" x14ac:dyDescent="0.2">
      <c r="A23" t="str">
        <f>A22</f>
        <v>IFAS not poor: hospital</v>
      </c>
      <c r="B23" s="80" t="s">
        <v>201</v>
      </c>
      <c r="C23" s="20"/>
    </row>
    <row r="24" spans="1:3" x14ac:dyDescent="0.2">
      <c r="A24" t="str">
        <f>'[1]Programs to include'!A13</f>
        <v>IFAS not poor: hospital (malaria area)</v>
      </c>
      <c r="B24" s="80" t="s">
        <v>200</v>
      </c>
      <c r="C24" s="20"/>
    </row>
    <row r="25" spans="1:3" x14ac:dyDescent="0.2">
      <c r="A25" t="str">
        <f>A24</f>
        <v>IFAS not poor: hospital (malaria area)</v>
      </c>
      <c r="B25" s="80" t="s">
        <v>201</v>
      </c>
      <c r="C25" s="20"/>
    </row>
    <row r="26" spans="1:3" x14ac:dyDescent="0.2">
      <c r="A26" t="str">
        <f>'[1]Programs to include'!A14</f>
        <v>IFAS not poor: retailer</v>
      </c>
      <c r="B26" s="80" t="s">
        <v>200</v>
      </c>
      <c r="C26" s="20"/>
    </row>
    <row r="27" spans="1:3" x14ac:dyDescent="0.2">
      <c r="A27" t="str">
        <f>A26</f>
        <v>IFAS not poor: retailer</v>
      </c>
      <c r="B27" s="80" t="s">
        <v>201</v>
      </c>
      <c r="C27" s="20"/>
    </row>
    <row r="28" spans="1:3" x14ac:dyDescent="0.2">
      <c r="A28" t="str">
        <f>'[1]Programs to include'!A15</f>
        <v>IFAS not poor: retailer (malaria area)</v>
      </c>
      <c r="B28" s="80" t="s">
        <v>200</v>
      </c>
      <c r="C28" s="20"/>
    </row>
    <row r="29" spans="1:3" x14ac:dyDescent="0.2">
      <c r="A29" t="str">
        <f>A28</f>
        <v>IFAS not poor: retailer (malaria area)</v>
      </c>
      <c r="B29" s="80" t="s">
        <v>201</v>
      </c>
      <c r="C29" s="20"/>
    </row>
    <row r="30" spans="1:3" x14ac:dyDescent="0.2">
      <c r="A30" t="str">
        <f>'[1]Programs to include'!A16</f>
        <v>IFAS not poor: school</v>
      </c>
      <c r="B30" s="80" t="s">
        <v>200</v>
      </c>
      <c r="C30" s="20"/>
    </row>
    <row r="31" spans="1:3" x14ac:dyDescent="0.2">
      <c r="A31" t="str">
        <f>A30</f>
        <v>IFAS not poor: school</v>
      </c>
      <c r="B31" s="80" t="s">
        <v>201</v>
      </c>
      <c r="C31" s="20"/>
    </row>
    <row r="32" spans="1:3" x14ac:dyDescent="0.2">
      <c r="A32" t="str">
        <f>'[1]Programs to include'!A17</f>
        <v>IFAS not poor: school (malaria area)</v>
      </c>
      <c r="B32" s="80" t="s">
        <v>200</v>
      </c>
      <c r="C32" s="20"/>
    </row>
    <row r="33" spans="1:3" x14ac:dyDescent="0.2">
      <c r="A33" t="str">
        <f>A32</f>
        <v>IFAS not poor: school (malaria area)</v>
      </c>
      <c r="B33" s="80" t="s">
        <v>201</v>
      </c>
      <c r="C33" s="20"/>
    </row>
    <row r="34" spans="1:3" x14ac:dyDescent="0.2">
      <c r="A34" t="str">
        <f>'[1]Programs to include'!A18</f>
        <v>IFAS poor: community</v>
      </c>
      <c r="B34" s="80" t="s">
        <v>200</v>
      </c>
      <c r="C34" s="20"/>
    </row>
    <row r="35" spans="1:3" x14ac:dyDescent="0.2">
      <c r="A35" t="str">
        <f>A34</f>
        <v>IFAS poor: community</v>
      </c>
      <c r="B35" s="80" t="s">
        <v>201</v>
      </c>
      <c r="C35" s="20"/>
    </row>
    <row r="36" spans="1:3" x14ac:dyDescent="0.2">
      <c r="A36" t="str">
        <f>'[1]Programs to include'!A19</f>
        <v>IFAS poor: community (malaria area)</v>
      </c>
      <c r="B36" s="80" t="s">
        <v>200</v>
      </c>
      <c r="C36" s="20"/>
    </row>
    <row r="37" spans="1:3" x14ac:dyDescent="0.2">
      <c r="A37" t="str">
        <f>A36</f>
        <v>IFAS poor: community (malaria area)</v>
      </c>
      <c r="B37" s="80" t="s">
        <v>201</v>
      </c>
      <c r="C37" s="20"/>
    </row>
    <row r="38" spans="1:3" x14ac:dyDescent="0.2">
      <c r="A38" t="str">
        <f>'[1]Programs to include'!A20</f>
        <v>IFAS poor: hospital</v>
      </c>
      <c r="B38" s="80" t="s">
        <v>200</v>
      </c>
      <c r="C38" s="20"/>
    </row>
    <row r="39" spans="1:3" x14ac:dyDescent="0.2">
      <c r="A39" t="str">
        <f>A38</f>
        <v>IFAS poor: hospital</v>
      </c>
      <c r="B39" s="80" t="s">
        <v>201</v>
      </c>
      <c r="C39" s="20"/>
    </row>
    <row r="40" spans="1:3" x14ac:dyDescent="0.2">
      <c r="A40" t="str">
        <f>'[1]Programs to include'!A21</f>
        <v>IFAS poor: hospital (malaria area)</v>
      </c>
      <c r="B40" s="80" t="s">
        <v>200</v>
      </c>
      <c r="C40" s="20"/>
    </row>
    <row r="41" spans="1:3" x14ac:dyDescent="0.2">
      <c r="A41" t="str">
        <f>A40</f>
        <v>IFAS poor: hospital (malaria area)</v>
      </c>
      <c r="B41" s="80" t="s">
        <v>201</v>
      </c>
      <c r="C41" s="20"/>
    </row>
    <row r="42" spans="1:3" x14ac:dyDescent="0.2">
      <c r="A42" t="str">
        <f>'[1]Programs to include'!A22</f>
        <v>IFAS poor: school</v>
      </c>
      <c r="B42" s="80" t="s">
        <v>200</v>
      </c>
      <c r="C42" s="20"/>
    </row>
    <row r="43" spans="1:3" x14ac:dyDescent="0.2">
      <c r="A43" t="str">
        <f>A42</f>
        <v>IFAS poor: school</v>
      </c>
      <c r="B43" s="80" t="s">
        <v>201</v>
      </c>
      <c r="C43" s="20"/>
    </row>
    <row r="44" spans="1:3" x14ac:dyDescent="0.2">
      <c r="A44" t="str">
        <f>'[1]Programs to include'!A23</f>
        <v>IFAS poor: school (malaria area)</v>
      </c>
      <c r="B44" s="80" t="s">
        <v>200</v>
      </c>
      <c r="C44" s="20"/>
    </row>
    <row r="45" spans="1:3" x14ac:dyDescent="0.2">
      <c r="A45" t="str">
        <f>A44</f>
        <v>IFAS poor: school (malaria area)</v>
      </c>
      <c r="B45" s="80" t="s">
        <v>201</v>
      </c>
      <c r="C45" s="20"/>
    </row>
    <row r="46" spans="1:3" x14ac:dyDescent="0.2">
      <c r="A46" t="str">
        <f>'[1]Programs to include'!A24</f>
        <v>IPTp</v>
      </c>
      <c r="B46" s="80" t="s">
        <v>200</v>
      </c>
      <c r="C46" s="20"/>
    </row>
    <row r="47" spans="1:3" x14ac:dyDescent="0.2">
      <c r="A47" t="str">
        <f>A46</f>
        <v>IPTp</v>
      </c>
      <c r="B47" s="80" t="s">
        <v>201</v>
      </c>
      <c r="C47" s="20"/>
    </row>
    <row r="48" spans="1:3" x14ac:dyDescent="0.2">
      <c r="A48" t="str">
        <f>'[1]Programs to include'!A25</f>
        <v>Iron and folic acid supplementation for pregnant women</v>
      </c>
      <c r="B48" s="80" t="s">
        <v>200</v>
      </c>
      <c r="C48" s="20"/>
    </row>
    <row r="49" spans="1:3" x14ac:dyDescent="0.2">
      <c r="A49" t="str">
        <f>A48</f>
        <v>Iron and folic acid supplementation for pregnant women</v>
      </c>
      <c r="B49" s="80" t="s">
        <v>201</v>
      </c>
      <c r="C49" s="20"/>
    </row>
    <row r="50" spans="1:3" x14ac:dyDescent="0.2">
      <c r="A50" t="str">
        <f>'[1]Programs to include'!A26</f>
        <v>Iron and folic acid supplementation for pregnant women (malaria area)</v>
      </c>
      <c r="B50" s="80" t="s">
        <v>200</v>
      </c>
      <c r="C50" s="20"/>
    </row>
    <row r="51" spans="1:3" x14ac:dyDescent="0.2">
      <c r="A51" t="str">
        <f>A50</f>
        <v>Iron and folic acid supplementation for pregnant women (malaria area)</v>
      </c>
      <c r="B51" s="80" t="s">
        <v>201</v>
      </c>
      <c r="C51" s="20"/>
    </row>
    <row r="52" spans="1:3" x14ac:dyDescent="0.2">
      <c r="A52" t="str">
        <f>'[1]Programs to include'!A27</f>
        <v>Iron and iodine fortification of salt</v>
      </c>
      <c r="B52" s="80" t="s">
        <v>200</v>
      </c>
      <c r="C52" s="20"/>
    </row>
    <row r="53" spans="1:3" x14ac:dyDescent="0.2">
      <c r="A53" t="str">
        <f>A52</f>
        <v>Iron and iodine fortification of salt</v>
      </c>
      <c r="B53" s="80" t="s">
        <v>201</v>
      </c>
      <c r="C53" s="20"/>
    </row>
    <row r="54" spans="1:3" x14ac:dyDescent="0.2">
      <c r="A54" t="str">
        <f>'[1]Programs to include'!A28</f>
        <v>Iron fortification of maize</v>
      </c>
      <c r="B54" s="80" t="s">
        <v>200</v>
      </c>
      <c r="C54" s="20"/>
    </row>
    <row r="55" spans="1:3" x14ac:dyDescent="0.2">
      <c r="A55" t="str">
        <f>A54</f>
        <v>Iron fortification of maize</v>
      </c>
      <c r="B55" s="80" t="s">
        <v>201</v>
      </c>
      <c r="C55" s="20"/>
    </row>
    <row r="56" spans="1:3" x14ac:dyDescent="0.2">
      <c r="A56" t="str">
        <f>'[1]Programs to include'!A29</f>
        <v>Iron fortification of rice</v>
      </c>
      <c r="B56" s="80" t="s">
        <v>200</v>
      </c>
      <c r="C56" s="20"/>
    </row>
    <row r="57" spans="1:3" x14ac:dyDescent="0.2">
      <c r="A57" t="str">
        <f>A56</f>
        <v>Iron fortification of rice</v>
      </c>
      <c r="B57" s="80" t="s">
        <v>201</v>
      </c>
      <c r="C57" s="20"/>
    </row>
    <row r="58" spans="1:3" x14ac:dyDescent="0.2">
      <c r="A58" t="str">
        <f>'[1]Programs to include'!A30</f>
        <v>Iron fortification of wheat flour</v>
      </c>
      <c r="B58" s="80" t="s">
        <v>200</v>
      </c>
      <c r="C58" s="20"/>
    </row>
    <row r="59" spans="1:3" x14ac:dyDescent="0.2">
      <c r="A59" t="str">
        <f>A58</f>
        <v>Iron fortification of wheat flour</v>
      </c>
      <c r="B59" s="80" t="s">
        <v>201</v>
      </c>
      <c r="C59" s="20"/>
    </row>
    <row r="60" spans="1:3" x14ac:dyDescent="0.2">
      <c r="A60" t="str">
        <f>'[1]Programs to include'!A31</f>
        <v>Long-lasting insecticide-treated bednets</v>
      </c>
      <c r="B60" s="80" t="s">
        <v>200</v>
      </c>
      <c r="C60" s="20"/>
    </row>
    <row r="61" spans="1:3" x14ac:dyDescent="0.2">
      <c r="A61" t="str">
        <f>A60</f>
        <v>Long-lasting insecticide-treated bednets</v>
      </c>
      <c r="B61" s="80" t="s">
        <v>201</v>
      </c>
      <c r="C61" s="20"/>
    </row>
    <row r="62" spans="1:3" x14ac:dyDescent="0.2">
      <c r="A62" t="str">
        <f>'[1]Programs to include'!A32</f>
        <v>Mg for eclampsia</v>
      </c>
      <c r="B62" s="80" t="s">
        <v>200</v>
      </c>
      <c r="C62" s="20"/>
    </row>
    <row r="63" spans="1:3" x14ac:dyDescent="0.2">
      <c r="A63" t="str">
        <f>A62</f>
        <v>Mg for eclampsia</v>
      </c>
      <c r="B63" s="80" t="s">
        <v>201</v>
      </c>
      <c r="C63" s="20"/>
    </row>
    <row r="64" spans="1:3" x14ac:dyDescent="0.2">
      <c r="A64" t="str">
        <f>'[1]Programs to include'!A33</f>
        <v>Mg for pre-eclampsia</v>
      </c>
      <c r="B64" s="80" t="s">
        <v>200</v>
      </c>
      <c r="C64" s="20"/>
    </row>
    <row r="65" spans="1:4" x14ac:dyDescent="0.2">
      <c r="A65" t="str">
        <f>A64</f>
        <v>Mg for pre-eclampsia</v>
      </c>
      <c r="B65" s="80" t="s">
        <v>201</v>
      </c>
      <c r="C65" s="20"/>
    </row>
    <row r="66" spans="1:4" x14ac:dyDescent="0.2">
      <c r="A66" t="str">
        <f>'[1]Programs to include'!A34</f>
        <v>Multiple micronutrient supplementation</v>
      </c>
      <c r="B66" s="80" t="s">
        <v>200</v>
      </c>
      <c r="C66" s="20"/>
    </row>
    <row r="67" spans="1:4" x14ac:dyDescent="0.2">
      <c r="A67" t="str">
        <f>A66</f>
        <v>Multiple micronutrient supplementation</v>
      </c>
      <c r="B67" s="80" t="s">
        <v>201</v>
      </c>
      <c r="C67" s="20"/>
    </row>
    <row r="68" spans="1:4" x14ac:dyDescent="0.2">
      <c r="A68" t="str">
        <f>'[1]Programs to include'!A35</f>
        <v>Multiple micronutrient supplementation (malaria area)</v>
      </c>
      <c r="B68" s="80" t="s">
        <v>200</v>
      </c>
      <c r="C68" s="20"/>
    </row>
    <row r="69" spans="1:4" x14ac:dyDescent="0.2">
      <c r="A69" t="str">
        <f>A68</f>
        <v>Multiple micronutrient supplementation (malaria area)</v>
      </c>
      <c r="B69" s="80" t="s">
        <v>201</v>
      </c>
      <c r="C69" s="20"/>
    </row>
    <row r="70" spans="1:4" x14ac:dyDescent="0.2">
      <c r="A70" t="str">
        <f>'[1]Programs to include'!A36</f>
        <v>Oral rehydration salts</v>
      </c>
      <c r="B70" s="80" t="s">
        <v>200</v>
      </c>
      <c r="C70" s="20"/>
    </row>
    <row r="71" spans="1:4" x14ac:dyDescent="0.2">
      <c r="A71" t="str">
        <f>A70</f>
        <v>Oral rehydration salts</v>
      </c>
      <c r="B71" s="80" t="s">
        <v>201</v>
      </c>
      <c r="C71" s="20"/>
    </row>
    <row r="72" spans="1:4" x14ac:dyDescent="0.2">
      <c r="A72" t="str">
        <f>'[1]Programs to include'!A37</f>
        <v>Public provision of complementary foods</v>
      </c>
      <c r="B72" s="80" t="s">
        <v>200</v>
      </c>
      <c r="C72" s="20"/>
    </row>
    <row r="73" spans="1:4" x14ac:dyDescent="0.2">
      <c r="A73" t="str">
        <f>A72</f>
        <v>Public provision of complementary foods</v>
      </c>
      <c r="B73" s="80" t="s">
        <v>201</v>
      </c>
      <c r="C73" s="20"/>
      <c r="D73">
        <v>1</v>
      </c>
    </row>
    <row r="74" spans="1:4" x14ac:dyDescent="0.2">
      <c r="A74" t="str">
        <f>'[1]Programs to include'!A38</f>
        <v>Public provision of complementary foods with iron</v>
      </c>
      <c r="B74" s="80" t="s">
        <v>200</v>
      </c>
      <c r="C74" s="20"/>
    </row>
    <row r="75" spans="1:4" x14ac:dyDescent="0.2">
      <c r="A75" t="str">
        <f>A74</f>
        <v>Public provision of complementary foods with iron</v>
      </c>
      <c r="B75" s="80" t="s">
        <v>201</v>
      </c>
      <c r="C75" s="20"/>
      <c r="D75">
        <v>1</v>
      </c>
    </row>
    <row r="76" spans="1:4" x14ac:dyDescent="0.2">
      <c r="A76" t="str">
        <f>'[1]Programs to include'!A39</f>
        <v>Public provision of complementary foods with iron (malaria area)</v>
      </c>
      <c r="B76" s="80" t="s">
        <v>200</v>
      </c>
      <c r="C76" s="20"/>
    </row>
    <row r="77" spans="1:4" x14ac:dyDescent="0.2">
      <c r="A77" t="str">
        <f>A76</f>
        <v>Public provision of complementary foods with iron (malaria area)</v>
      </c>
      <c r="B77" s="80" t="s">
        <v>201</v>
      </c>
      <c r="C77" s="20"/>
      <c r="D77">
        <v>1</v>
      </c>
    </row>
    <row r="78" spans="1:4" x14ac:dyDescent="0.2">
      <c r="A78" t="str">
        <f>'[1]Programs to include'!A40</f>
        <v>Sprinkles</v>
      </c>
      <c r="B78" s="80" t="s">
        <v>200</v>
      </c>
      <c r="C78" s="20"/>
    </row>
    <row r="79" spans="1:4" x14ac:dyDescent="0.2">
      <c r="A79" t="str">
        <f>A78</f>
        <v>Sprinkles</v>
      </c>
      <c r="B79" s="80" t="s">
        <v>201</v>
      </c>
      <c r="C79" s="20"/>
      <c r="D79">
        <v>0.8</v>
      </c>
    </row>
    <row r="80" spans="1:4" x14ac:dyDescent="0.2">
      <c r="A80" t="str">
        <f>'[1]Programs to include'!A41</f>
        <v>Sprinkles (malaria area)</v>
      </c>
      <c r="B80" s="80" t="s">
        <v>200</v>
      </c>
      <c r="C80" s="20"/>
    </row>
    <row r="81" spans="1:4" x14ac:dyDescent="0.2">
      <c r="A81" t="str">
        <f>A80</f>
        <v>Sprinkles (malaria area)</v>
      </c>
      <c r="B81" s="80" t="s">
        <v>201</v>
      </c>
      <c r="C81" s="20"/>
      <c r="D81">
        <v>0.95</v>
      </c>
    </row>
    <row r="82" spans="1:4" x14ac:dyDescent="0.2">
      <c r="A82" t="str">
        <f>'[1]Programs to include'!A42</f>
        <v>Treatment of MAM</v>
      </c>
      <c r="B82" s="80" t="s">
        <v>200</v>
      </c>
      <c r="C82" s="20"/>
    </row>
    <row r="83" spans="1:4" x14ac:dyDescent="0.2">
      <c r="A83" t="str">
        <f>A82</f>
        <v>Treatment of MAM</v>
      </c>
      <c r="B83" s="80" t="s">
        <v>201</v>
      </c>
      <c r="C83" s="20"/>
      <c r="D83">
        <v>0.8</v>
      </c>
    </row>
    <row r="84" spans="1:4" x14ac:dyDescent="0.2">
      <c r="A84" t="str">
        <f>'[1]Programs to include'!A43</f>
        <v>Treatment of SAM</v>
      </c>
      <c r="B84" s="80" t="s">
        <v>200</v>
      </c>
      <c r="C84" s="20"/>
    </row>
    <row r="85" spans="1:4" x14ac:dyDescent="0.2">
      <c r="A85" t="str">
        <f>A84</f>
        <v>Treatment of SAM</v>
      </c>
      <c r="B85" s="80" t="s">
        <v>201</v>
      </c>
      <c r="C85" s="20"/>
    </row>
    <row r="86" spans="1:4" x14ac:dyDescent="0.2">
      <c r="A86" t="str">
        <f>'[1]Programs to include'!A44</f>
        <v>Vitamin A supplementation</v>
      </c>
      <c r="B86" s="80" t="s">
        <v>200</v>
      </c>
      <c r="C86" s="20"/>
    </row>
    <row r="87" spans="1:4" x14ac:dyDescent="0.2">
      <c r="A87" t="str">
        <f>A86</f>
        <v>Vitamin A supplementation</v>
      </c>
      <c r="B87" s="80" t="s">
        <v>201</v>
      </c>
      <c r="C87" s="20"/>
      <c r="D87">
        <v>0.95</v>
      </c>
    </row>
    <row r="88" spans="1:4" x14ac:dyDescent="0.2">
      <c r="A88" t="str">
        <f>'[1]Programs to include'!A45</f>
        <v>WASH: Handwashing</v>
      </c>
      <c r="B88" s="80" t="s">
        <v>200</v>
      </c>
      <c r="C88" s="20"/>
    </row>
    <row r="89" spans="1:4" x14ac:dyDescent="0.2">
      <c r="A89" t="str">
        <f>A88</f>
        <v>WASH: Handwashing</v>
      </c>
      <c r="B89" s="80" t="s">
        <v>201</v>
      </c>
      <c r="C89" s="20"/>
    </row>
    <row r="90" spans="1:4" x14ac:dyDescent="0.2">
      <c r="A90" t="str">
        <f>'[1]Programs to include'!A46</f>
        <v>WASH: Hygenic disposal</v>
      </c>
      <c r="B90" s="80" t="s">
        <v>200</v>
      </c>
      <c r="C90" s="20"/>
    </row>
    <row r="91" spans="1:4" x14ac:dyDescent="0.2">
      <c r="A91" t="str">
        <f>A90</f>
        <v>WASH: Hygenic disposal</v>
      </c>
      <c r="B91" s="80" t="s">
        <v>201</v>
      </c>
      <c r="C91" s="20"/>
    </row>
    <row r="92" spans="1:4" x14ac:dyDescent="0.2">
      <c r="A92" t="str">
        <f>'[1]Programs to include'!A47</f>
        <v>WASH: Improved sanitation</v>
      </c>
      <c r="B92" s="80" t="s">
        <v>200</v>
      </c>
      <c r="C92" s="20"/>
    </row>
    <row r="93" spans="1:4" x14ac:dyDescent="0.2">
      <c r="A93" t="str">
        <f>A92</f>
        <v>WASH: Improved sanitation</v>
      </c>
      <c r="B93" s="80" t="s">
        <v>201</v>
      </c>
      <c r="C93" s="20"/>
    </row>
    <row r="94" spans="1:4" x14ac:dyDescent="0.2">
      <c r="A94" t="str">
        <f>'[1]Programs to include'!A48</f>
        <v>WASH: Improved water source</v>
      </c>
      <c r="B94" s="80" t="s">
        <v>200</v>
      </c>
      <c r="C94" s="20"/>
    </row>
    <row r="95" spans="1:4" x14ac:dyDescent="0.2">
      <c r="A95" t="str">
        <f>A94</f>
        <v>WASH: Improved water source</v>
      </c>
      <c r="B95" s="80" t="s">
        <v>201</v>
      </c>
      <c r="C95" s="20"/>
    </row>
    <row r="96" spans="1:4" x14ac:dyDescent="0.2">
      <c r="A96" t="str">
        <f>'[1]Programs to include'!A49</f>
        <v>WASH: Piped water</v>
      </c>
      <c r="B96" s="80" t="s">
        <v>200</v>
      </c>
      <c r="C96" s="20"/>
    </row>
    <row r="97" spans="1:4" x14ac:dyDescent="0.2">
      <c r="A97" t="str">
        <f>A96</f>
        <v>WASH: Piped water</v>
      </c>
      <c r="B97" s="80" t="s">
        <v>201</v>
      </c>
      <c r="C97" s="20"/>
    </row>
    <row r="98" spans="1:4" x14ac:dyDescent="0.2">
      <c r="A98" t="str">
        <f>'[1]Programs to include'!A50</f>
        <v>Zinc for treatment + ORS</v>
      </c>
      <c r="B98" s="80" t="s">
        <v>200</v>
      </c>
      <c r="C98" s="20"/>
    </row>
    <row r="99" spans="1:4" x14ac:dyDescent="0.2">
      <c r="A99" t="str">
        <f>A98</f>
        <v>Zinc for treatment + ORS</v>
      </c>
      <c r="B99" s="80" t="s">
        <v>201</v>
      </c>
      <c r="C99" s="20"/>
    </row>
    <row r="100" spans="1:4" x14ac:dyDescent="0.2">
      <c r="A100" t="str">
        <f>'[1]Programs to include'!A51</f>
        <v>Zinc supplementation</v>
      </c>
      <c r="B100" s="80" t="s">
        <v>200</v>
      </c>
      <c r="C100" s="20"/>
    </row>
    <row r="101" spans="1:4" x14ac:dyDescent="0.2">
      <c r="A101" t="str">
        <f>A100</f>
        <v>Zinc supplementation</v>
      </c>
      <c r="B101" s="80" t="s">
        <v>201</v>
      </c>
      <c r="C101" s="20"/>
    </row>
    <row r="102" spans="1:4" x14ac:dyDescent="0.2">
      <c r="A102" t="str">
        <f>'[1]Programs to include'!A52</f>
        <v>IYCF 1</v>
      </c>
      <c r="B102" s="80" t="s">
        <v>200</v>
      </c>
      <c r="C102" s="20"/>
    </row>
    <row r="103" spans="1:4" x14ac:dyDescent="0.2">
      <c r="A103" t="str">
        <f>A102</f>
        <v>IYCF 1</v>
      </c>
      <c r="B103" s="80" t="s">
        <v>201</v>
      </c>
      <c r="C103" s="20"/>
      <c r="D103">
        <v>0.95</v>
      </c>
    </row>
    <row r="104" spans="1:4" x14ac:dyDescent="0.2">
      <c r="A104" t="str">
        <f>'[1]Programs to include'!A53</f>
        <v>IYCF 2</v>
      </c>
      <c r="B104" s="80" t="s">
        <v>200</v>
      </c>
      <c r="C104" s="20"/>
    </row>
    <row r="105" spans="1:4" x14ac:dyDescent="0.2">
      <c r="A105" t="str">
        <f>A104</f>
        <v>IYCF 2</v>
      </c>
      <c r="B105" s="80" t="s">
        <v>201</v>
      </c>
      <c r="C105" s="20"/>
    </row>
    <row r="106" spans="1:4" x14ac:dyDescent="0.2">
      <c r="A106" t="str">
        <f>'[1]Programs to include'!A54</f>
        <v>IYCF 3</v>
      </c>
      <c r="B106" s="80" t="s">
        <v>200</v>
      </c>
      <c r="C106" s="20"/>
    </row>
    <row r="107" spans="1:4" x14ac:dyDescent="0.2">
      <c r="A107" t="str">
        <f>A106</f>
        <v>IYCF 3</v>
      </c>
      <c r="B107" s="80" t="s">
        <v>201</v>
      </c>
      <c r="C107" s="20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7" t="s">
        <v>154</v>
      </c>
    </row>
    <row r="2" spans="1:1" x14ac:dyDescent="0.2">
      <c r="A2" s="80" t="s">
        <v>145</v>
      </c>
    </row>
    <row r="3" spans="1:1" x14ac:dyDescent="0.2">
      <c r="A3" s="80" t="s">
        <v>86</v>
      </c>
    </row>
    <row r="4" spans="1:1" x14ac:dyDescent="0.2">
      <c r="A4" s="3" t="s">
        <v>56</v>
      </c>
    </row>
    <row r="5" spans="1:1" x14ac:dyDescent="0.2">
      <c r="A5" t="s">
        <v>190</v>
      </c>
    </row>
    <row r="6" spans="1:1" x14ac:dyDescent="0.2">
      <c r="A6" t="s">
        <v>189</v>
      </c>
    </row>
    <row r="7" spans="1:1" x14ac:dyDescent="0.2">
      <c r="A7" t="s">
        <v>188</v>
      </c>
    </row>
    <row r="8" spans="1:1" x14ac:dyDescent="0.2">
      <c r="A8" t="s">
        <v>186</v>
      </c>
    </row>
    <row r="9" spans="1:1" x14ac:dyDescent="0.2">
      <c r="A9" t="s">
        <v>187</v>
      </c>
    </row>
  </sheetData>
  <pageMargins left="0.7" right="0.7" top="0.75" bottom="0.75" header="0.3" footer="0.3"/>
  <pageSetup paperSize="9"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54"/>
  <sheetViews>
    <sheetView workbookViewId="0">
      <selection activeCell="C58" sqref="C58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154</v>
      </c>
      <c r="B1" s="7" t="s">
        <v>185</v>
      </c>
    </row>
    <row r="2" spans="1:2" x14ac:dyDescent="0.2">
      <c r="A2" t="s">
        <v>48</v>
      </c>
      <c r="B2" t="s">
        <v>128</v>
      </c>
    </row>
    <row r="3" spans="1:2" ht="14.25" x14ac:dyDescent="0.2">
      <c r="A3" s="40" t="s">
        <v>196</v>
      </c>
      <c r="B3" t="s">
        <v>128</v>
      </c>
    </row>
    <row r="4" spans="1:2" x14ac:dyDescent="0.2">
      <c r="A4" s="3" t="s">
        <v>193</v>
      </c>
      <c r="B4" t="s">
        <v>128</v>
      </c>
    </row>
    <row r="5" spans="1:2" x14ac:dyDescent="0.2">
      <c r="A5" s="3" t="s">
        <v>108</v>
      </c>
      <c r="B5" t="s">
        <v>128</v>
      </c>
    </row>
    <row r="6" spans="1:2" x14ac:dyDescent="0.2">
      <c r="A6" t="s">
        <v>145</v>
      </c>
      <c r="B6" t="s">
        <v>128</v>
      </c>
    </row>
    <row r="7" spans="1:2" x14ac:dyDescent="0.2">
      <c r="A7" s="9" t="s">
        <v>110</v>
      </c>
      <c r="B7" t="s">
        <v>128</v>
      </c>
    </row>
    <row r="8" spans="1:2" x14ac:dyDescent="0.2">
      <c r="A8" s="9" t="s">
        <v>111</v>
      </c>
      <c r="B8" t="s">
        <v>128</v>
      </c>
    </row>
    <row r="9" spans="1:2" x14ac:dyDescent="0.2">
      <c r="A9" s="9" t="s">
        <v>109</v>
      </c>
      <c r="B9" t="s">
        <v>128</v>
      </c>
    </row>
    <row r="10" spans="1:2" x14ac:dyDescent="0.2">
      <c r="A10" t="s">
        <v>91</v>
      </c>
      <c r="B10" t="s">
        <v>128</v>
      </c>
    </row>
    <row r="11" spans="1:2" x14ac:dyDescent="0.2">
      <c r="A11" t="s">
        <v>99</v>
      </c>
      <c r="B11" t="s">
        <v>128</v>
      </c>
    </row>
    <row r="12" spans="1:2" x14ac:dyDescent="0.2">
      <c r="A12" t="s">
        <v>92</v>
      </c>
      <c r="B12" t="s">
        <v>128</v>
      </c>
    </row>
    <row r="13" spans="1:2" x14ac:dyDescent="0.2">
      <c r="A13" t="s">
        <v>100</v>
      </c>
      <c r="B13" t="s">
        <v>128</v>
      </c>
    </row>
    <row r="14" spans="1:2" x14ac:dyDescent="0.2">
      <c r="A14" t="s">
        <v>93</v>
      </c>
      <c r="B14" t="s">
        <v>128</v>
      </c>
    </row>
    <row r="15" spans="1:2" x14ac:dyDescent="0.2">
      <c r="A15" t="s">
        <v>101</v>
      </c>
      <c r="B15" t="s">
        <v>128</v>
      </c>
    </row>
    <row r="16" spans="1:2" x14ac:dyDescent="0.2">
      <c r="A16" t="s">
        <v>90</v>
      </c>
      <c r="B16" t="s">
        <v>128</v>
      </c>
    </row>
    <row r="17" spans="1:2" x14ac:dyDescent="0.2">
      <c r="A17" t="s">
        <v>98</v>
      </c>
      <c r="B17" t="s">
        <v>128</v>
      </c>
    </row>
    <row r="18" spans="1:2" x14ac:dyDescent="0.2">
      <c r="A18" t="s">
        <v>88</v>
      </c>
      <c r="B18" t="s">
        <v>128</v>
      </c>
    </row>
    <row r="19" spans="1:2" x14ac:dyDescent="0.2">
      <c r="A19" t="s">
        <v>96</v>
      </c>
      <c r="B19" t="s">
        <v>128</v>
      </c>
    </row>
    <row r="20" spans="1:2" x14ac:dyDescent="0.2">
      <c r="A20" t="s">
        <v>89</v>
      </c>
      <c r="B20" t="s">
        <v>128</v>
      </c>
    </row>
    <row r="21" spans="1:2" x14ac:dyDescent="0.2">
      <c r="A21" t="s">
        <v>97</v>
      </c>
      <c r="B21" t="s">
        <v>128</v>
      </c>
    </row>
    <row r="22" spans="1:2" x14ac:dyDescent="0.2">
      <c r="A22" t="s">
        <v>87</v>
      </c>
      <c r="B22" t="s">
        <v>128</v>
      </c>
    </row>
    <row r="23" spans="1:2" x14ac:dyDescent="0.2">
      <c r="A23" t="s">
        <v>95</v>
      </c>
      <c r="B23" t="s">
        <v>128</v>
      </c>
    </row>
    <row r="24" spans="1:2" x14ac:dyDescent="0.2">
      <c r="A24" t="s">
        <v>86</v>
      </c>
      <c r="B24" t="s">
        <v>128</v>
      </c>
    </row>
    <row r="25" spans="1:2" x14ac:dyDescent="0.2">
      <c r="A25" s="3" t="s">
        <v>55</v>
      </c>
      <c r="B25" t="s">
        <v>128</v>
      </c>
    </row>
    <row r="26" spans="1:2" x14ac:dyDescent="0.2">
      <c r="A26" s="3" t="s">
        <v>104</v>
      </c>
      <c r="B26" t="s">
        <v>128</v>
      </c>
    </row>
    <row r="27" spans="1:2" x14ac:dyDescent="0.2">
      <c r="A27" s="3" t="s">
        <v>72</v>
      </c>
      <c r="B27" t="s">
        <v>128</v>
      </c>
    </row>
    <row r="28" spans="1:2" s="8" customFormat="1" x14ac:dyDescent="0.2">
      <c r="A28" s="74" t="s">
        <v>59</v>
      </c>
    </row>
    <row r="29" spans="1:2" s="8" customFormat="1" x14ac:dyDescent="0.2">
      <c r="A29" s="74" t="s">
        <v>60</v>
      </c>
    </row>
    <row r="30" spans="1:2" s="8" customFormat="1" x14ac:dyDescent="0.2">
      <c r="A30" s="74" t="s">
        <v>58</v>
      </c>
    </row>
    <row r="31" spans="1:2" x14ac:dyDescent="0.2">
      <c r="A31" s="3" t="s">
        <v>56</v>
      </c>
      <c r="B31" t="s">
        <v>128</v>
      </c>
    </row>
    <row r="32" spans="1:2" x14ac:dyDescent="0.2">
      <c r="A32" s="3" t="s">
        <v>195</v>
      </c>
      <c r="B32" t="s">
        <v>128</v>
      </c>
    </row>
    <row r="33" spans="1:2" x14ac:dyDescent="0.2">
      <c r="A33" s="3" t="s">
        <v>194</v>
      </c>
      <c r="B33" t="s">
        <v>128</v>
      </c>
    </row>
    <row r="34" spans="1:2" x14ac:dyDescent="0.2">
      <c r="A34" t="s">
        <v>102</v>
      </c>
      <c r="B34" t="s">
        <v>128</v>
      </c>
    </row>
    <row r="35" spans="1:2" x14ac:dyDescent="0.2">
      <c r="A35" t="s">
        <v>103</v>
      </c>
      <c r="B35" t="s">
        <v>128</v>
      </c>
    </row>
    <row r="36" spans="1:2" x14ac:dyDescent="0.2">
      <c r="A36" t="s">
        <v>191</v>
      </c>
      <c r="B36" t="s">
        <v>128</v>
      </c>
    </row>
    <row r="37" spans="1:2" x14ac:dyDescent="0.2">
      <c r="A37" s="3" t="s">
        <v>94</v>
      </c>
      <c r="B37" t="s">
        <v>128</v>
      </c>
    </row>
    <row r="38" spans="1:2" x14ac:dyDescent="0.2">
      <c r="A38" s="3" t="s">
        <v>290</v>
      </c>
      <c r="B38" t="s">
        <v>128</v>
      </c>
    </row>
    <row r="39" spans="1:2" x14ac:dyDescent="0.2">
      <c r="A39" s="3" t="s">
        <v>291</v>
      </c>
      <c r="B39" t="s">
        <v>128</v>
      </c>
    </row>
    <row r="40" spans="1:2" x14ac:dyDescent="0.2">
      <c r="A40" s="3" t="s">
        <v>293</v>
      </c>
      <c r="B40" t="s">
        <v>128</v>
      </c>
    </row>
    <row r="41" spans="1:2" x14ac:dyDescent="0.2">
      <c r="A41" s="17" t="s">
        <v>294</v>
      </c>
      <c r="B41" t="s">
        <v>128</v>
      </c>
    </row>
    <row r="42" spans="1:2" x14ac:dyDescent="0.2">
      <c r="A42" s="3" t="s">
        <v>114</v>
      </c>
      <c r="B42" t="s">
        <v>128</v>
      </c>
    </row>
    <row r="43" spans="1:2" x14ac:dyDescent="0.2">
      <c r="A43" s="3" t="s">
        <v>115</v>
      </c>
      <c r="B43" t="s">
        <v>128</v>
      </c>
    </row>
    <row r="44" spans="1:2" x14ac:dyDescent="0.2">
      <c r="A44" s="3" t="s">
        <v>41</v>
      </c>
      <c r="B44" t="s">
        <v>128</v>
      </c>
    </row>
    <row r="45" spans="1:2" x14ac:dyDescent="0.2">
      <c r="A45" t="s">
        <v>190</v>
      </c>
      <c r="B45" t="s">
        <v>128</v>
      </c>
    </row>
    <row r="46" spans="1:2" x14ac:dyDescent="0.2">
      <c r="A46" t="s">
        <v>189</v>
      </c>
      <c r="B46" t="s">
        <v>128</v>
      </c>
    </row>
    <row r="47" spans="1:2" x14ac:dyDescent="0.2">
      <c r="A47" t="s">
        <v>188</v>
      </c>
      <c r="B47" t="s">
        <v>128</v>
      </c>
    </row>
    <row r="48" spans="1:2" x14ac:dyDescent="0.2">
      <c r="A48" t="s">
        <v>186</v>
      </c>
      <c r="B48" t="s">
        <v>128</v>
      </c>
    </row>
    <row r="49" spans="1:2" x14ac:dyDescent="0.2">
      <c r="A49" t="s">
        <v>187</v>
      </c>
      <c r="B49" t="s">
        <v>128</v>
      </c>
    </row>
    <row r="50" spans="1:2" x14ac:dyDescent="0.2">
      <c r="A50" t="s">
        <v>192</v>
      </c>
      <c r="B50" t="s">
        <v>128</v>
      </c>
    </row>
    <row r="51" spans="1:2" x14ac:dyDescent="0.2">
      <c r="A51" s="3" t="s">
        <v>105</v>
      </c>
      <c r="B51" t="s">
        <v>128</v>
      </c>
    </row>
    <row r="52" spans="1:2" x14ac:dyDescent="0.2">
      <c r="A52" s="73" t="s">
        <v>124</v>
      </c>
      <c r="B52" t="s">
        <v>128</v>
      </c>
    </row>
    <row r="53" spans="1:2" x14ac:dyDescent="0.2">
      <c r="A53" s="73" t="s">
        <v>125</v>
      </c>
      <c r="B53" t="s">
        <v>128</v>
      </c>
    </row>
    <row r="54" spans="1:2" x14ac:dyDescent="0.2">
      <c r="A54" s="73" t="s">
        <v>126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O17"/>
  <sheetViews>
    <sheetView zoomScaleNormal="100" workbookViewId="0">
      <selection activeCell="B25" sqref="B2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107" t="s">
        <v>284</v>
      </c>
      <c r="B1" s="1" t="s">
        <v>7</v>
      </c>
      <c r="C1" s="86" t="s">
        <v>1</v>
      </c>
      <c r="D1" s="86" t="s">
        <v>2</v>
      </c>
      <c r="E1" s="86" t="s">
        <v>3</v>
      </c>
      <c r="F1" s="86" t="s">
        <v>4</v>
      </c>
      <c r="G1" s="86" t="s">
        <v>5</v>
      </c>
    </row>
    <row r="2" spans="1:15" ht="15.75" customHeight="1" x14ac:dyDescent="0.2">
      <c r="A2" s="9" t="s">
        <v>233</v>
      </c>
      <c r="B2" s="64" t="s">
        <v>235</v>
      </c>
      <c r="C2" s="142">
        <f>1-SUM(C3:C5)</f>
        <v>0.63400000000000001</v>
      </c>
      <c r="D2" s="142">
        <f t="shared" ref="D2:G2" si="0">1-SUM(D3:D5)</f>
        <v>0.63400000000000001</v>
      </c>
      <c r="E2" s="142">
        <f t="shared" si="0"/>
        <v>0.49</v>
      </c>
      <c r="F2" s="142">
        <f t="shared" si="0"/>
        <v>0.28000000000000003</v>
      </c>
      <c r="G2" s="142">
        <f t="shared" si="0"/>
        <v>0.25349999999999995</v>
      </c>
    </row>
    <row r="3" spans="1:15" ht="15.75" customHeight="1" x14ac:dyDescent="0.2">
      <c r="A3" s="8"/>
      <c r="B3" s="64" t="s">
        <v>236</v>
      </c>
      <c r="C3" s="108">
        <v>0.22600000000000001</v>
      </c>
      <c r="D3" s="108">
        <v>0.22600000000000001</v>
      </c>
      <c r="E3" s="108">
        <v>0.314</v>
      </c>
      <c r="F3" s="108">
        <v>0.33899999999999997</v>
      </c>
      <c r="G3" s="108">
        <v>0.33250000000000002</v>
      </c>
    </row>
    <row r="4" spans="1:15" ht="15.75" customHeight="1" x14ac:dyDescent="0.2">
      <c r="A4" s="8"/>
      <c r="B4" s="64" t="s">
        <v>234</v>
      </c>
      <c r="C4" s="108">
        <v>0.10199999999999999</v>
      </c>
      <c r="D4" s="108">
        <v>0.10199999999999999</v>
      </c>
      <c r="E4" s="108">
        <v>0.14699999999999999</v>
      </c>
      <c r="F4" s="108">
        <v>0.247</v>
      </c>
      <c r="G4" s="108">
        <v>0.28100000000000003</v>
      </c>
    </row>
    <row r="5" spans="1:15" ht="15.75" customHeight="1" x14ac:dyDescent="0.2">
      <c r="A5" s="8"/>
      <c r="B5" s="64" t="s">
        <v>237</v>
      </c>
      <c r="C5" s="108">
        <v>3.7999999999999999E-2</v>
      </c>
      <c r="D5" s="108">
        <v>3.7999999999999999E-2</v>
      </c>
      <c r="E5" s="108">
        <v>4.9000000000000002E-2</v>
      </c>
      <c r="F5" s="108">
        <v>0.13400000000000001</v>
      </c>
      <c r="G5" s="108">
        <v>0.13300000000000001</v>
      </c>
    </row>
    <row r="6" spans="1:15" ht="15.75" customHeight="1" x14ac:dyDescent="0.2">
      <c r="B6" s="84"/>
      <c r="C6" s="109"/>
      <c r="D6" s="109"/>
      <c r="E6" s="109"/>
      <c r="F6" s="109"/>
      <c r="G6" s="109"/>
    </row>
    <row r="7" spans="1:15" ht="15.75" customHeight="1" x14ac:dyDescent="0.2">
      <c r="B7" s="84"/>
      <c r="C7" s="109"/>
      <c r="D7" s="109"/>
      <c r="E7" s="109"/>
      <c r="F7" s="109"/>
      <c r="G7" s="109"/>
    </row>
    <row r="8" spans="1:15" ht="15.75" customHeight="1" x14ac:dyDescent="0.2">
      <c r="A8" s="3" t="s">
        <v>232</v>
      </c>
      <c r="B8" s="16" t="s">
        <v>238</v>
      </c>
      <c r="C8" s="142">
        <f t="shared" ref="C8:G8" si="1">1-SUM(C9:C11)</f>
        <v>0.56800000000000006</v>
      </c>
      <c r="D8" s="142">
        <f t="shared" si="1"/>
        <v>0.56800000000000006</v>
      </c>
      <c r="E8" s="142">
        <f t="shared" si="1"/>
        <v>0.58650000000000002</v>
      </c>
      <c r="F8" s="142">
        <f t="shared" si="1"/>
        <v>0.54900000000000004</v>
      </c>
      <c r="G8" s="142">
        <f t="shared" si="1"/>
        <v>0.49</v>
      </c>
    </row>
    <row r="9" spans="1:15" ht="15.75" customHeight="1" x14ac:dyDescent="0.2">
      <c r="B9" s="16" t="s">
        <v>239</v>
      </c>
      <c r="C9" s="108">
        <v>0.23300000000000001</v>
      </c>
      <c r="D9" s="108">
        <v>0.23300000000000001</v>
      </c>
      <c r="E9" s="108">
        <v>0.23149999999999998</v>
      </c>
      <c r="F9" s="108">
        <v>0.3</v>
      </c>
      <c r="G9" s="108">
        <v>0.38400000000000001</v>
      </c>
    </row>
    <row r="10" spans="1:15" ht="15.75" customHeight="1" x14ac:dyDescent="0.2">
      <c r="B10" s="16" t="s">
        <v>240</v>
      </c>
      <c r="C10" s="108">
        <v>0.15</v>
      </c>
      <c r="D10" s="108">
        <v>0.15</v>
      </c>
      <c r="E10" s="108">
        <v>0.129</v>
      </c>
      <c r="F10" s="108">
        <v>0.11</v>
      </c>
      <c r="G10" s="108">
        <v>0.105</v>
      </c>
    </row>
    <row r="11" spans="1:15" ht="15.75" customHeight="1" x14ac:dyDescent="0.2">
      <c r="B11" s="16" t="s">
        <v>241</v>
      </c>
      <c r="C11" s="108">
        <v>4.9000000000000002E-2</v>
      </c>
      <c r="D11" s="108">
        <v>4.9000000000000002E-2</v>
      </c>
      <c r="E11" s="108">
        <v>5.2999999999999999E-2</v>
      </c>
      <c r="F11" s="108">
        <v>4.0999999999999995E-2</v>
      </c>
      <c r="G11" s="108">
        <v>2.1000000000000001E-2</v>
      </c>
    </row>
    <row r="12" spans="1:15" ht="15.75" customHeight="1" x14ac:dyDescent="0.2">
      <c r="C12" s="59"/>
      <c r="D12" s="59"/>
      <c r="E12" s="59"/>
      <c r="F12" s="59"/>
      <c r="G12" s="59"/>
      <c r="H12" s="85"/>
      <c r="I12" s="85"/>
      <c r="J12" s="85"/>
      <c r="K12" s="85"/>
      <c r="L12" s="85"/>
      <c r="M12" s="85"/>
      <c r="N12" s="85"/>
      <c r="O12" s="85"/>
    </row>
    <row r="13" spans="1:15" ht="27" customHeight="1" x14ac:dyDescent="0.2">
      <c r="A13" s="80" t="s">
        <v>155</v>
      </c>
      <c r="C13" s="86" t="s">
        <v>1</v>
      </c>
      <c r="D13" s="86" t="s">
        <v>2</v>
      </c>
      <c r="E13" s="86" t="s">
        <v>3</v>
      </c>
      <c r="F13" s="86" t="s">
        <v>4</v>
      </c>
      <c r="G13" s="86" t="s">
        <v>5</v>
      </c>
      <c r="H13" s="99" t="s">
        <v>82</v>
      </c>
      <c r="I13" s="99" t="s">
        <v>83</v>
      </c>
      <c r="J13" s="99" t="s">
        <v>84</v>
      </c>
      <c r="K13" s="99" t="s">
        <v>85</v>
      </c>
      <c r="L13" s="99" t="s">
        <v>78</v>
      </c>
      <c r="M13" s="99" t="s">
        <v>79</v>
      </c>
      <c r="N13" s="99" t="s">
        <v>80</v>
      </c>
      <c r="O13" s="99" t="s">
        <v>81</v>
      </c>
    </row>
    <row r="14" spans="1:15" ht="15.75" customHeight="1" x14ac:dyDescent="0.2">
      <c r="B14" s="86" t="s">
        <v>282</v>
      </c>
      <c r="C14" s="143">
        <v>0.1</v>
      </c>
      <c r="D14" s="143">
        <v>0.1</v>
      </c>
      <c r="E14" s="143">
        <v>0.74</v>
      </c>
      <c r="F14" s="143">
        <v>0.55000000000000004</v>
      </c>
      <c r="G14" s="143">
        <v>0.42699999999999999</v>
      </c>
      <c r="H14" s="144">
        <v>0.48149999999999998</v>
      </c>
      <c r="I14" s="144">
        <v>0.48149999999999998</v>
      </c>
      <c r="J14" s="144">
        <v>0.48149999999999998</v>
      </c>
      <c r="K14" s="144">
        <v>0.48149999999999998</v>
      </c>
      <c r="L14" s="144">
        <v>0.43469999999999998</v>
      </c>
      <c r="M14" s="144">
        <v>0.43469999999999998</v>
      </c>
      <c r="N14" s="144">
        <v>0.43469999999999998</v>
      </c>
      <c r="O14" s="144">
        <v>0.43469999999999998</v>
      </c>
    </row>
    <row r="15" spans="1:15" ht="15.75" customHeight="1" x14ac:dyDescent="0.2">
      <c r="B15" s="86" t="s">
        <v>152</v>
      </c>
      <c r="C15" s="142">
        <f t="shared" ref="C15:O15" si="2">iron_deficiency_anaemia*C14</f>
        <v>4.2000000000000003E-2</v>
      </c>
      <c r="D15" s="142">
        <f t="shared" si="2"/>
        <v>4.2000000000000003E-2</v>
      </c>
      <c r="E15" s="142">
        <f t="shared" si="2"/>
        <v>0.31079999999999997</v>
      </c>
      <c r="F15" s="142">
        <f t="shared" si="2"/>
        <v>0.23100000000000001</v>
      </c>
      <c r="G15" s="142">
        <f t="shared" si="2"/>
        <v>0.17934</v>
      </c>
      <c r="H15" s="142">
        <f t="shared" si="2"/>
        <v>0.20222999999999999</v>
      </c>
      <c r="I15" s="142">
        <f t="shared" si="2"/>
        <v>0.20222999999999999</v>
      </c>
      <c r="J15" s="142">
        <f t="shared" si="2"/>
        <v>0.20222999999999999</v>
      </c>
      <c r="K15" s="142">
        <f t="shared" si="2"/>
        <v>0.20222999999999999</v>
      </c>
      <c r="L15" s="142">
        <f t="shared" si="2"/>
        <v>0.18257399999999999</v>
      </c>
      <c r="M15" s="142">
        <f t="shared" si="2"/>
        <v>0.18257399999999999</v>
      </c>
      <c r="N15" s="142">
        <f t="shared" si="2"/>
        <v>0.18257399999999999</v>
      </c>
      <c r="O15" s="142">
        <f t="shared" si="2"/>
        <v>0.18257399999999999</v>
      </c>
    </row>
    <row r="16" spans="1:15" ht="15.75" customHeight="1" x14ac:dyDescent="0.2">
      <c r="C16" s="59"/>
      <c r="D16" s="59"/>
      <c r="E16" s="59"/>
      <c r="F16" s="59"/>
      <c r="G16" s="59"/>
    </row>
    <row r="17" spans="3:7" ht="15.75" customHeight="1" x14ac:dyDescent="0.2">
      <c r="C17" s="59"/>
      <c r="D17" s="59"/>
      <c r="E17" s="59"/>
      <c r="F17" s="59"/>
      <c r="G17" s="59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G5"/>
  <sheetViews>
    <sheetView zoomScaleNormal="100" workbookViewId="0">
      <selection activeCell="B2" sqref="B2:B4"/>
    </sheetView>
  </sheetViews>
  <sheetFormatPr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107" t="s">
        <v>231</v>
      </c>
      <c r="B1" s="1" t="s">
        <v>7</v>
      </c>
      <c r="C1" s="80" t="s">
        <v>1</v>
      </c>
      <c r="D1" s="80" t="s">
        <v>2</v>
      </c>
      <c r="E1" s="80" t="s">
        <v>3</v>
      </c>
      <c r="F1" s="80" t="s">
        <v>4</v>
      </c>
      <c r="G1" s="80" t="s">
        <v>5</v>
      </c>
    </row>
    <row r="2" spans="1:7" x14ac:dyDescent="0.2">
      <c r="A2" s="3" t="s">
        <v>30</v>
      </c>
      <c r="B2" s="141" t="s">
        <v>31</v>
      </c>
      <c r="C2" s="108">
        <v>0.80299999999999994</v>
      </c>
      <c r="D2" s="108">
        <v>0.46200000000000002</v>
      </c>
      <c r="E2" s="108">
        <v>3.3000000000000002E-2</v>
      </c>
      <c r="F2" s="108">
        <v>6.9999999999999993E-3</v>
      </c>
      <c r="G2" s="108">
        <v>0</v>
      </c>
    </row>
    <row r="3" spans="1:7" x14ac:dyDescent="0.2">
      <c r="B3" s="141" t="s">
        <v>32</v>
      </c>
      <c r="C3" s="108">
        <v>6.8000000000000005E-2</v>
      </c>
      <c r="D3" s="108">
        <v>0.16300000000000001</v>
      </c>
      <c r="E3" s="108">
        <v>9.4E-2</v>
      </c>
      <c r="F3" s="108">
        <v>4.4999999999999998E-2</v>
      </c>
      <c r="G3" s="108">
        <v>0</v>
      </c>
    </row>
    <row r="4" spans="1:7" x14ac:dyDescent="0.2">
      <c r="B4" s="141" t="s">
        <v>33</v>
      </c>
      <c r="C4" s="108">
        <v>0.107</v>
      </c>
      <c r="D4" s="108">
        <v>0.37</v>
      </c>
      <c r="E4" s="108">
        <v>0.83700000000000008</v>
      </c>
      <c r="F4" s="108">
        <v>0.879</v>
      </c>
      <c r="G4" s="108">
        <v>0</v>
      </c>
    </row>
    <row r="5" spans="1:7" x14ac:dyDescent="0.2">
      <c r="B5" s="141" t="s">
        <v>34</v>
      </c>
      <c r="C5" s="142">
        <f>1-SUM(C2:C4)</f>
        <v>2.200000000000002E-2</v>
      </c>
      <c r="D5" s="142">
        <f t="shared" ref="D5:G5" si="0">1-SUM(D2:D4)</f>
        <v>5.0000000000000044E-3</v>
      </c>
      <c r="E5" s="142">
        <f t="shared" si="0"/>
        <v>3.5999999999999921E-2</v>
      </c>
      <c r="F5" s="142">
        <f t="shared" si="0"/>
        <v>6.899999999999995E-2</v>
      </c>
      <c r="G5" s="142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K14"/>
  <sheetViews>
    <sheetView tabSelected="1" zoomScale="115" zoomScaleNormal="115" workbookViewId="0">
      <selection activeCell="L19" sqref="L19"/>
    </sheetView>
  </sheetViews>
  <sheetFormatPr defaultRowHeight="12.75" x14ac:dyDescent="0.2"/>
  <cols>
    <col min="1" max="1" width="37" customWidth="1"/>
    <col min="2" max="2" width="29.5703125" customWidth="1"/>
  </cols>
  <sheetData>
    <row r="1" spans="1:11" x14ac:dyDescent="0.2">
      <c r="A1" s="7" t="s">
        <v>300</v>
      </c>
      <c r="B1" s="7" t="s">
        <v>307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301</v>
      </c>
      <c r="B2" s="84" t="s">
        <v>305</v>
      </c>
      <c r="C2" s="108"/>
      <c r="D2" s="108"/>
      <c r="E2" s="108"/>
      <c r="F2" s="108"/>
      <c r="G2" s="108"/>
      <c r="H2" s="108"/>
      <c r="I2" s="108"/>
      <c r="J2" s="108"/>
      <c r="K2" s="108"/>
    </row>
    <row r="3" spans="1:11" x14ac:dyDescent="0.2">
      <c r="B3" s="84"/>
    </row>
    <row r="4" spans="1:11" x14ac:dyDescent="0.2">
      <c r="A4" t="s">
        <v>302</v>
      </c>
      <c r="B4" s="84" t="s">
        <v>305</v>
      </c>
      <c r="C4" s="108"/>
      <c r="D4" s="108"/>
      <c r="E4" s="108"/>
      <c r="F4" s="108"/>
      <c r="G4" s="108"/>
      <c r="H4" s="108"/>
      <c r="I4" s="108"/>
      <c r="J4" s="108"/>
      <c r="K4" s="108"/>
    </row>
    <row r="5" spans="1:11" x14ac:dyDescent="0.2">
      <c r="B5" s="84"/>
    </row>
    <row r="6" spans="1:11" x14ac:dyDescent="0.2">
      <c r="A6" t="s">
        <v>303</v>
      </c>
      <c r="B6" s="84" t="s">
        <v>305</v>
      </c>
      <c r="C6" s="108"/>
      <c r="D6" s="108"/>
      <c r="E6" s="108"/>
      <c r="F6" s="108"/>
      <c r="G6" s="108"/>
      <c r="H6" s="108"/>
      <c r="I6" s="108"/>
      <c r="J6" s="108"/>
      <c r="K6" s="108"/>
    </row>
    <row r="7" spans="1:11" x14ac:dyDescent="0.2">
      <c r="B7" s="84" t="s">
        <v>306</v>
      </c>
      <c r="C7" s="108"/>
      <c r="D7" s="108"/>
      <c r="E7" s="108"/>
      <c r="F7" s="108"/>
      <c r="G7" s="108"/>
      <c r="H7" s="108"/>
      <c r="I7" s="108"/>
      <c r="J7" s="108"/>
      <c r="K7" s="108"/>
    </row>
    <row r="8" spans="1:11" x14ac:dyDescent="0.2">
      <c r="B8" s="84" t="s">
        <v>53</v>
      </c>
      <c r="C8" s="108"/>
      <c r="D8" s="108"/>
      <c r="E8" s="108"/>
      <c r="F8" s="108"/>
      <c r="G8" s="108"/>
      <c r="H8" s="108"/>
      <c r="I8" s="108"/>
      <c r="J8" s="108"/>
      <c r="K8" s="108"/>
    </row>
    <row r="9" spans="1:11" x14ac:dyDescent="0.2">
      <c r="B9" s="84"/>
    </row>
    <row r="10" spans="1:11" x14ac:dyDescent="0.2">
      <c r="A10" t="s">
        <v>304</v>
      </c>
      <c r="B10" s="86" t="s">
        <v>309</v>
      </c>
      <c r="C10" s="108"/>
      <c r="D10" s="108"/>
      <c r="E10" s="108"/>
      <c r="F10" s="108"/>
      <c r="G10" s="108"/>
      <c r="H10" s="108"/>
      <c r="I10" s="108"/>
      <c r="J10" s="108"/>
      <c r="K10" s="108"/>
    </row>
    <row r="11" spans="1:11" x14ac:dyDescent="0.2">
      <c r="B11" s="147" t="s">
        <v>308</v>
      </c>
      <c r="C11" s="108"/>
      <c r="D11" s="108"/>
      <c r="E11" s="108"/>
      <c r="F11" s="108"/>
      <c r="G11" s="108"/>
      <c r="H11" s="108"/>
      <c r="I11" s="108"/>
      <c r="J11" s="108"/>
      <c r="K11" s="108"/>
    </row>
    <row r="13" spans="1:11" x14ac:dyDescent="0.2">
      <c r="A13" s="80" t="s">
        <v>314</v>
      </c>
      <c r="B13" s="86" t="s">
        <v>312</v>
      </c>
      <c r="C13" s="108"/>
      <c r="D13" s="108"/>
      <c r="E13" s="108"/>
      <c r="F13" s="108"/>
      <c r="G13" s="108"/>
      <c r="H13" s="108"/>
      <c r="I13" s="108"/>
      <c r="J13" s="108"/>
      <c r="K13" s="108"/>
    </row>
    <row r="14" spans="1:11" x14ac:dyDescent="0.2">
      <c r="B14" s="147" t="s">
        <v>313</v>
      </c>
      <c r="C14" s="108"/>
      <c r="D14" s="108"/>
      <c r="E14" s="108"/>
      <c r="F14" s="108"/>
      <c r="G14" s="108"/>
      <c r="H14" s="108"/>
      <c r="I14" s="108"/>
      <c r="J14" s="108"/>
      <c r="K14" s="10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17"/>
  <sheetViews>
    <sheetView workbookViewId="0">
      <selection activeCell="B25" sqref="B25"/>
    </sheetView>
  </sheetViews>
  <sheetFormatPr defaultColWidth="11.42578125" defaultRowHeight="12.75" x14ac:dyDescent="0.2"/>
  <cols>
    <col min="1" max="1" width="37.140625" style="80" customWidth="1"/>
    <col min="2" max="2" width="44.28515625" style="80" customWidth="1"/>
    <col min="3" max="3" width="16.42578125" style="80" customWidth="1"/>
    <col min="4" max="16384" width="11.42578125" style="80"/>
  </cols>
  <sheetData>
    <row r="1" spans="1:3" s="114" customFormat="1" ht="31.5" customHeight="1" x14ac:dyDescent="0.2">
      <c r="A1" s="111" t="s">
        <v>244</v>
      </c>
      <c r="B1" s="112"/>
      <c r="C1" s="113" t="s">
        <v>242</v>
      </c>
    </row>
    <row r="2" spans="1:3" ht="14.25" customHeight="1" x14ac:dyDescent="0.2">
      <c r="A2" s="61" t="s">
        <v>243</v>
      </c>
      <c r="B2" s="110" t="s">
        <v>170</v>
      </c>
      <c r="C2" s="115">
        <v>0.15</v>
      </c>
    </row>
    <row r="3" spans="1:3" ht="14.25" customHeight="1" x14ac:dyDescent="0.2">
      <c r="B3" s="110" t="s">
        <v>171</v>
      </c>
      <c r="C3" s="115">
        <v>0.03</v>
      </c>
    </row>
    <row r="4" spans="1:3" ht="14.25" customHeight="1" x14ac:dyDescent="0.2">
      <c r="B4" s="110" t="s">
        <v>172</v>
      </c>
      <c r="C4" s="115">
        <v>0</v>
      </c>
    </row>
    <row r="5" spans="1:3" ht="14.25" customHeight="1" x14ac:dyDescent="0.2">
      <c r="B5" s="110" t="s">
        <v>173</v>
      </c>
      <c r="C5" s="115">
        <v>0.19</v>
      </c>
    </row>
    <row r="6" spans="1:3" ht="14.25" customHeight="1" x14ac:dyDescent="0.2">
      <c r="B6" s="110" t="s">
        <v>174</v>
      </c>
      <c r="C6" s="115">
        <v>0.39</v>
      </c>
    </row>
    <row r="7" spans="1:3" ht="14.25" customHeight="1" x14ac:dyDescent="0.2">
      <c r="B7" s="110" t="s">
        <v>175</v>
      </c>
      <c r="C7" s="115">
        <v>0.19</v>
      </c>
    </row>
    <row r="8" spans="1:3" ht="14.25" customHeight="1" x14ac:dyDescent="0.2">
      <c r="B8" s="110" t="s">
        <v>176</v>
      </c>
      <c r="C8" s="115">
        <v>1E-3</v>
      </c>
    </row>
    <row r="9" spans="1:3" ht="14.25" customHeight="1" x14ac:dyDescent="0.2">
      <c r="B9" s="110" t="s">
        <v>177</v>
      </c>
      <c r="C9" s="115">
        <v>7.0000000000000001E-3</v>
      </c>
    </row>
    <row r="10" spans="1:3" ht="14.25" customHeight="1" x14ac:dyDescent="0.2">
      <c r="B10" s="110" t="s">
        <v>178</v>
      </c>
      <c r="C10" s="115">
        <v>0.04</v>
      </c>
    </row>
    <row r="11" spans="1:3" ht="14.25" customHeight="1" x14ac:dyDescent="0.2">
      <c r="B11" s="140" t="s">
        <v>279</v>
      </c>
      <c r="C11" s="139">
        <f>SUM(C2:C10)</f>
        <v>0.998</v>
      </c>
    </row>
    <row r="12" spans="1:3" ht="14.25" customHeight="1" x14ac:dyDescent="0.2">
      <c r="B12" s="114"/>
      <c r="C12" s="114"/>
    </row>
    <row r="13" spans="1:3" ht="14.25" customHeight="1" x14ac:dyDescent="0.2">
      <c r="A13" s="61" t="s">
        <v>179</v>
      </c>
      <c r="B13" s="110" t="s">
        <v>180</v>
      </c>
      <c r="C13" s="115">
        <v>0.34</v>
      </c>
    </row>
    <row r="14" spans="1:3" ht="14.25" customHeight="1" x14ac:dyDescent="0.2">
      <c r="B14" s="110" t="s">
        <v>181</v>
      </c>
      <c r="C14" s="115">
        <v>0.05</v>
      </c>
    </row>
    <row r="15" spans="1:3" ht="14.25" customHeight="1" x14ac:dyDescent="0.2">
      <c r="B15" s="110" t="s">
        <v>182</v>
      </c>
      <c r="C15" s="115">
        <v>7.0000000000000007E-2</v>
      </c>
    </row>
    <row r="16" spans="1:3" ht="14.25" customHeight="1" x14ac:dyDescent="0.2">
      <c r="B16" s="110" t="s">
        <v>183</v>
      </c>
      <c r="C16" s="115">
        <v>0.54</v>
      </c>
    </row>
    <row r="17" spans="2:3" x14ac:dyDescent="0.2">
      <c r="B17" s="140" t="s">
        <v>279</v>
      </c>
      <c r="C17" s="139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E21"/>
  <sheetViews>
    <sheetView zoomScale="115" zoomScaleNormal="115" workbookViewId="0">
      <selection activeCell="E1" sqref="E1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7" t="s">
        <v>123</v>
      </c>
      <c r="B1" s="7" t="s">
        <v>122</v>
      </c>
      <c r="C1" s="7" t="s">
        <v>116</v>
      </c>
      <c r="D1" s="7" t="s">
        <v>117</v>
      </c>
      <c r="E1" s="7" t="s">
        <v>127</v>
      </c>
    </row>
    <row r="2" spans="1:5" x14ac:dyDescent="0.2">
      <c r="A2" s="45" t="s">
        <v>124</v>
      </c>
      <c r="B2" s="46" t="s">
        <v>53</v>
      </c>
      <c r="C2" s="46" t="s">
        <v>128</v>
      </c>
      <c r="D2" s="46" t="s">
        <v>128</v>
      </c>
      <c r="E2" s="47"/>
    </row>
    <row r="3" spans="1:5" x14ac:dyDescent="0.2">
      <c r="A3" s="48"/>
      <c r="B3" s="49" t="s">
        <v>1</v>
      </c>
      <c r="C3" s="49"/>
      <c r="D3" s="49"/>
      <c r="E3" s="50"/>
    </row>
    <row r="4" spans="1:5" x14ac:dyDescent="0.2">
      <c r="A4" s="48"/>
      <c r="B4" s="49" t="s">
        <v>2</v>
      </c>
      <c r="C4" s="49"/>
      <c r="D4" s="49"/>
      <c r="E4" s="50"/>
    </row>
    <row r="5" spans="1:5" x14ac:dyDescent="0.2">
      <c r="A5" s="48"/>
      <c r="B5" s="49" t="s">
        <v>3</v>
      </c>
      <c r="C5" s="49"/>
      <c r="D5" s="49"/>
      <c r="E5" s="50"/>
    </row>
    <row r="6" spans="1:5" x14ac:dyDescent="0.2">
      <c r="A6" s="48"/>
      <c r="B6" s="49" t="s">
        <v>4</v>
      </c>
      <c r="C6" s="49"/>
      <c r="D6" s="49"/>
      <c r="E6" s="50"/>
    </row>
    <row r="7" spans="1:5" x14ac:dyDescent="0.2">
      <c r="A7" s="51"/>
      <c r="B7" s="52" t="s">
        <v>73</v>
      </c>
      <c r="C7" s="53"/>
      <c r="D7" s="53"/>
      <c r="E7" s="54"/>
    </row>
    <row r="9" spans="1:5" x14ac:dyDescent="0.2">
      <c r="A9" s="45" t="s">
        <v>125</v>
      </c>
      <c r="B9" s="46" t="s">
        <v>53</v>
      </c>
      <c r="C9" s="46"/>
      <c r="D9" s="46"/>
      <c r="E9" s="47"/>
    </row>
    <row r="10" spans="1:5" x14ac:dyDescent="0.2">
      <c r="A10" s="48"/>
      <c r="B10" s="49" t="s">
        <v>1</v>
      </c>
      <c r="C10" s="49" t="s">
        <v>128</v>
      </c>
      <c r="D10" s="49" t="s">
        <v>128</v>
      </c>
      <c r="E10" s="50"/>
    </row>
    <row r="11" spans="1:5" x14ac:dyDescent="0.2">
      <c r="A11" s="48"/>
      <c r="B11" s="49" t="s">
        <v>2</v>
      </c>
      <c r="C11" s="49"/>
      <c r="D11" s="49"/>
      <c r="E11" s="50"/>
    </row>
    <row r="12" spans="1:5" x14ac:dyDescent="0.2">
      <c r="A12" s="48"/>
      <c r="B12" s="49" t="s">
        <v>3</v>
      </c>
      <c r="C12" s="49"/>
      <c r="D12" s="49"/>
      <c r="E12" s="50"/>
    </row>
    <row r="13" spans="1:5" x14ac:dyDescent="0.2">
      <c r="A13" s="48"/>
      <c r="B13" s="49" t="s">
        <v>4</v>
      </c>
      <c r="C13" s="49"/>
      <c r="D13" s="49"/>
      <c r="E13" s="50"/>
    </row>
    <row r="14" spans="1:5" x14ac:dyDescent="0.2">
      <c r="A14" s="51"/>
      <c r="B14" s="52" t="s">
        <v>73</v>
      </c>
      <c r="C14" s="53"/>
      <c r="D14" s="53"/>
      <c r="E14" s="54"/>
    </row>
    <row r="16" spans="1:5" x14ac:dyDescent="0.2">
      <c r="A16" s="45" t="s">
        <v>126</v>
      </c>
      <c r="B16" s="46" t="s">
        <v>53</v>
      </c>
      <c r="C16" s="46"/>
      <c r="D16" s="46"/>
      <c r="E16" s="47"/>
    </row>
    <row r="17" spans="1:5" x14ac:dyDescent="0.2">
      <c r="A17" s="48"/>
      <c r="B17" s="49" t="s">
        <v>1</v>
      </c>
      <c r="C17" s="49"/>
      <c r="D17" s="49"/>
      <c r="E17" s="50"/>
    </row>
    <row r="18" spans="1:5" x14ac:dyDescent="0.2">
      <c r="A18" s="48"/>
      <c r="B18" s="49" t="s">
        <v>2</v>
      </c>
      <c r="C18" s="49"/>
      <c r="D18" s="49"/>
      <c r="E18" s="50"/>
    </row>
    <row r="19" spans="1:5" x14ac:dyDescent="0.2">
      <c r="A19" s="48"/>
      <c r="B19" s="49" t="s">
        <v>3</v>
      </c>
      <c r="C19" s="49"/>
      <c r="D19" s="49"/>
      <c r="E19" s="50"/>
    </row>
    <row r="20" spans="1:5" x14ac:dyDescent="0.2">
      <c r="A20" s="48"/>
      <c r="B20" s="49" t="s">
        <v>4</v>
      </c>
      <c r="C20" s="49"/>
      <c r="D20" s="49"/>
      <c r="E20" s="50"/>
    </row>
    <row r="21" spans="1:5" x14ac:dyDescent="0.2">
      <c r="A21" s="51"/>
      <c r="B21" s="52" t="s">
        <v>73</v>
      </c>
      <c r="C21" s="53"/>
      <c r="D21" s="53"/>
      <c r="E21" s="5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G39"/>
  <sheetViews>
    <sheetView zoomScale="85" zoomScaleNormal="85" workbookViewId="0">
      <selection activeCell="N49" sqref="N49"/>
    </sheetView>
  </sheetViews>
  <sheetFormatPr defaultColWidth="14.42578125" defaultRowHeight="15.75" customHeight="1" x14ac:dyDescent="0.2"/>
  <cols>
    <col min="1" max="1" width="21.42578125" style="80" customWidth="1"/>
    <col min="2" max="2" width="30.7109375" style="80" customWidth="1"/>
    <col min="3" max="3" width="10.140625" style="80" bestFit="1" customWidth="1"/>
    <col min="4" max="4" width="9.140625" style="80" bestFit="1" customWidth="1"/>
    <col min="5" max="5" width="12.140625" style="80" bestFit="1" customWidth="1"/>
    <col min="6" max="6" width="12" style="80" bestFit="1" customWidth="1"/>
    <col min="7" max="16384" width="14.42578125" style="80"/>
  </cols>
  <sheetData>
    <row r="1" spans="1:6" s="120" customFormat="1" ht="18.75" customHeight="1" x14ac:dyDescent="0.2">
      <c r="A1" s="119" t="s">
        <v>251</v>
      </c>
    </row>
    <row r="2" spans="1:6" ht="15.75" customHeight="1" x14ac:dyDescent="0.2">
      <c r="B2" s="61"/>
      <c r="C2" s="117" t="s">
        <v>36</v>
      </c>
      <c r="D2" s="118" t="s">
        <v>15</v>
      </c>
      <c r="E2" s="118" t="s">
        <v>14</v>
      </c>
      <c r="F2" s="118" t="s">
        <v>12</v>
      </c>
    </row>
    <row r="3" spans="1:6" ht="15.75" customHeight="1" x14ac:dyDescent="0.2">
      <c r="A3" s="7" t="s">
        <v>253</v>
      </c>
    </row>
    <row r="4" spans="1:6" ht="15.75" customHeight="1" x14ac:dyDescent="0.2">
      <c r="B4" s="16" t="s">
        <v>170</v>
      </c>
      <c r="C4" s="102">
        <v>1</v>
      </c>
      <c r="D4" s="105">
        <v>1.52</v>
      </c>
      <c r="E4" s="105">
        <v>1.75</v>
      </c>
      <c r="F4" s="105">
        <v>3.14</v>
      </c>
    </row>
    <row r="5" spans="1:6" ht="15.75" customHeight="1" x14ac:dyDescent="0.2">
      <c r="B5" s="16" t="s">
        <v>171</v>
      </c>
      <c r="C5" s="102">
        <v>1</v>
      </c>
      <c r="D5" s="105">
        <v>1.2</v>
      </c>
      <c r="E5" s="105">
        <v>1.4</v>
      </c>
      <c r="F5" s="105">
        <v>1.6</v>
      </c>
    </row>
    <row r="6" spans="1:6" ht="15.75" customHeight="1" x14ac:dyDescent="0.2">
      <c r="B6" s="16" t="s">
        <v>172</v>
      </c>
      <c r="C6" s="102">
        <v>1</v>
      </c>
      <c r="D6" s="105">
        <v>1.2</v>
      </c>
      <c r="E6" s="105">
        <v>1.4</v>
      </c>
      <c r="F6" s="105">
        <v>1.6</v>
      </c>
    </row>
    <row r="7" spans="1:6" ht="15.75" customHeight="1" x14ac:dyDescent="0.2">
      <c r="B7" s="16" t="s">
        <v>173</v>
      </c>
      <c r="C7" s="102">
        <v>1</v>
      </c>
      <c r="D7" s="105">
        <v>1.52</v>
      </c>
      <c r="E7" s="105">
        <v>1.75</v>
      </c>
      <c r="F7" s="105">
        <v>1.73</v>
      </c>
    </row>
    <row r="8" spans="1:6" ht="15.75" customHeight="1" x14ac:dyDescent="0.2">
      <c r="B8" s="16" t="s">
        <v>174</v>
      </c>
      <c r="C8" s="102">
        <v>1</v>
      </c>
      <c r="D8" s="105">
        <v>1</v>
      </c>
      <c r="E8" s="105">
        <v>1</v>
      </c>
      <c r="F8" s="105">
        <v>1</v>
      </c>
    </row>
    <row r="9" spans="1:6" ht="15.75" customHeight="1" x14ac:dyDescent="0.2">
      <c r="B9" s="16" t="s">
        <v>175</v>
      </c>
      <c r="C9" s="102">
        <v>1</v>
      </c>
      <c r="D9" s="105">
        <v>1</v>
      </c>
      <c r="E9" s="105">
        <v>1</v>
      </c>
      <c r="F9" s="105">
        <v>1</v>
      </c>
    </row>
    <row r="10" spans="1:6" ht="15.75" customHeight="1" x14ac:dyDescent="0.2">
      <c r="B10" s="16" t="s">
        <v>176</v>
      </c>
      <c r="C10" s="102">
        <v>1</v>
      </c>
      <c r="D10" s="105">
        <v>1.52</v>
      </c>
      <c r="E10" s="105">
        <v>1.75</v>
      </c>
      <c r="F10" s="105">
        <v>1.52</v>
      </c>
    </row>
    <row r="11" spans="1:6" ht="15.75" customHeight="1" x14ac:dyDescent="0.2">
      <c r="B11" s="16" t="s">
        <v>177</v>
      </c>
      <c r="C11" s="102">
        <v>1</v>
      </c>
      <c r="D11" s="105">
        <v>1</v>
      </c>
      <c r="E11" s="105">
        <v>1.33</v>
      </c>
      <c r="F11" s="105">
        <v>1</v>
      </c>
    </row>
    <row r="12" spans="1:6" ht="15.75" customHeight="1" x14ac:dyDescent="0.2">
      <c r="B12" s="16" t="s">
        <v>178</v>
      </c>
      <c r="C12" s="102">
        <v>1</v>
      </c>
      <c r="D12" s="105">
        <v>1</v>
      </c>
      <c r="E12" s="105">
        <v>1.33</v>
      </c>
      <c r="F12" s="105">
        <v>1</v>
      </c>
    </row>
    <row r="13" spans="1:6" ht="15.75" customHeight="1" x14ac:dyDescent="0.2">
      <c r="B13" s="86"/>
      <c r="C13" s="132"/>
      <c r="D13" s="122"/>
      <c r="E13" s="122"/>
      <c r="F13" s="122"/>
    </row>
    <row r="14" spans="1:6" ht="15.75" customHeight="1" x14ac:dyDescent="0.2">
      <c r="A14" s="7" t="s">
        <v>254</v>
      </c>
      <c r="B14" s="89"/>
      <c r="C14" s="133"/>
      <c r="D14" s="123"/>
      <c r="E14" s="123"/>
      <c r="F14" s="123"/>
    </row>
    <row r="15" spans="1:6" ht="15.75" customHeight="1" x14ac:dyDescent="0.2">
      <c r="B15" s="62" t="s">
        <v>180</v>
      </c>
      <c r="C15" s="102">
        <v>1</v>
      </c>
      <c r="D15" s="105">
        <v>1</v>
      </c>
      <c r="E15" s="105">
        <v>1</v>
      </c>
      <c r="F15" s="105">
        <v>1</v>
      </c>
    </row>
    <row r="16" spans="1:6" ht="15.75" customHeight="1" x14ac:dyDescent="0.2">
      <c r="B16" s="62" t="s">
        <v>181</v>
      </c>
      <c r="C16" s="102">
        <v>1</v>
      </c>
      <c r="D16" s="105">
        <v>1.41</v>
      </c>
      <c r="E16" s="105">
        <v>1.49</v>
      </c>
      <c r="F16" s="105">
        <v>3.03</v>
      </c>
    </row>
    <row r="17" spans="1:7" ht="15.75" customHeight="1" x14ac:dyDescent="0.2">
      <c r="B17" s="62" t="s">
        <v>182</v>
      </c>
      <c r="C17" s="102">
        <v>1</v>
      </c>
      <c r="D17" s="105">
        <v>1.18</v>
      </c>
      <c r="E17" s="105">
        <v>1.1000000000000001</v>
      </c>
      <c r="F17" s="105">
        <v>1.77</v>
      </c>
    </row>
    <row r="18" spans="1:7" ht="15.75" customHeight="1" x14ac:dyDescent="0.2">
      <c r="B18" s="62" t="s">
        <v>183</v>
      </c>
      <c r="C18" s="102">
        <v>1</v>
      </c>
      <c r="D18" s="105">
        <v>1</v>
      </c>
      <c r="E18" s="105">
        <v>1</v>
      </c>
      <c r="F18" s="105">
        <v>1</v>
      </c>
    </row>
    <row r="19" spans="1:7" ht="15.75" customHeight="1" x14ac:dyDescent="0.2">
      <c r="C19" s="134"/>
      <c r="D19" s="124"/>
      <c r="E19" s="124"/>
      <c r="F19" s="124"/>
    </row>
    <row r="20" spans="1:7" ht="15.75" customHeight="1" x14ac:dyDescent="0.2">
      <c r="A20" s="7" t="s">
        <v>252</v>
      </c>
      <c r="C20" s="102">
        <v>1</v>
      </c>
      <c r="D20" s="105">
        <v>1.53</v>
      </c>
      <c r="E20" s="105">
        <v>1.32</v>
      </c>
      <c r="F20" s="105">
        <v>1.53</v>
      </c>
      <c r="G20" s="116"/>
    </row>
    <row r="21" spans="1:7" ht="15.75" customHeight="1" x14ac:dyDescent="0.2">
      <c r="C21" s="134"/>
      <c r="D21" s="124"/>
      <c r="E21" s="124"/>
      <c r="F21" s="124"/>
      <c r="G21" s="116"/>
    </row>
    <row r="22" spans="1:7" s="120" customFormat="1" ht="15" customHeight="1" x14ac:dyDescent="0.2">
      <c r="A22" s="119" t="s">
        <v>246</v>
      </c>
      <c r="C22" s="135"/>
      <c r="D22" s="125"/>
      <c r="E22" s="125"/>
      <c r="F22" s="125"/>
      <c r="G22" s="121"/>
    </row>
    <row r="23" spans="1:7" ht="15.75" customHeight="1" x14ac:dyDescent="0.2">
      <c r="A23" s="7" t="s">
        <v>245</v>
      </c>
      <c r="C23" s="134"/>
      <c r="D23" s="124"/>
      <c r="E23" s="124"/>
      <c r="F23" s="124"/>
      <c r="G23" s="116"/>
    </row>
    <row r="24" spans="1:7" ht="15.75" customHeight="1" x14ac:dyDescent="0.2">
      <c r="B24" s="86" t="s">
        <v>248</v>
      </c>
      <c r="C24" s="102">
        <v>1</v>
      </c>
      <c r="D24" s="105">
        <v>5</v>
      </c>
      <c r="E24" s="105">
        <v>6.4</v>
      </c>
      <c r="F24" s="105">
        <v>46.5</v>
      </c>
      <c r="G24" s="116"/>
    </row>
    <row r="25" spans="1:7" ht="15.75" customHeight="1" x14ac:dyDescent="0.2">
      <c r="B25" s="86" t="s">
        <v>247</v>
      </c>
      <c r="C25" s="102">
        <v>1</v>
      </c>
      <c r="D25" s="105">
        <v>2.58</v>
      </c>
      <c r="E25" s="105">
        <v>1.65</v>
      </c>
      <c r="F25" s="105">
        <v>3.5</v>
      </c>
      <c r="G25" s="116"/>
    </row>
    <row r="26" spans="1:7" ht="15.75" customHeight="1" x14ac:dyDescent="0.2">
      <c r="B26" s="86" t="s">
        <v>249</v>
      </c>
      <c r="C26" s="102">
        <v>1</v>
      </c>
      <c r="D26" s="105">
        <v>2.58</v>
      </c>
      <c r="E26" s="105">
        <v>1.65</v>
      </c>
      <c r="F26" s="105">
        <v>3.5</v>
      </c>
      <c r="G26" s="116"/>
    </row>
    <row r="27" spans="1:7" ht="15.75" customHeight="1" x14ac:dyDescent="0.2">
      <c r="A27" s="7"/>
      <c r="B27" s="86"/>
      <c r="C27" s="136"/>
      <c r="D27" s="124"/>
      <c r="E27" s="124"/>
      <c r="F27" s="124"/>
      <c r="G27" s="116"/>
    </row>
    <row r="28" spans="1:7" ht="15.75" customHeight="1" x14ac:dyDescent="0.2">
      <c r="A28" s="7" t="s">
        <v>250</v>
      </c>
      <c r="B28" s="89"/>
      <c r="C28" s="137"/>
      <c r="D28" s="126"/>
      <c r="E28" s="126"/>
      <c r="F28" s="126"/>
      <c r="G28" s="116"/>
    </row>
    <row r="29" spans="1:7" ht="15.75" customHeight="1" x14ac:dyDescent="0.2">
      <c r="B29" s="16" t="s">
        <v>163</v>
      </c>
      <c r="C29" s="102">
        <v>1</v>
      </c>
      <c r="D29" s="105">
        <v>1</v>
      </c>
      <c r="E29" s="105">
        <v>1</v>
      </c>
      <c r="F29" s="105">
        <v>1</v>
      </c>
      <c r="G29" s="116"/>
    </row>
    <row r="30" spans="1:7" ht="15.75" customHeight="1" x14ac:dyDescent="0.2">
      <c r="B30" s="16" t="s">
        <v>10</v>
      </c>
      <c r="C30" s="102">
        <v>1</v>
      </c>
      <c r="D30" s="105">
        <v>2.0099999999999998</v>
      </c>
      <c r="E30" s="105">
        <v>3.39</v>
      </c>
      <c r="F30" s="105">
        <v>11.89</v>
      </c>
      <c r="G30" s="116"/>
    </row>
    <row r="31" spans="1:7" ht="15.75" customHeight="1" x14ac:dyDescent="0.2">
      <c r="B31" s="16" t="s">
        <v>11</v>
      </c>
      <c r="C31" s="102">
        <v>1</v>
      </c>
      <c r="D31" s="105">
        <v>2.0099999999999998</v>
      </c>
      <c r="E31" s="105">
        <v>3.39</v>
      </c>
      <c r="F31" s="105">
        <v>11.89</v>
      </c>
      <c r="G31" s="116"/>
    </row>
    <row r="32" spans="1:7" ht="15.75" customHeight="1" x14ac:dyDescent="0.2">
      <c r="B32" s="16" t="s">
        <v>13</v>
      </c>
      <c r="C32" s="102">
        <v>1</v>
      </c>
      <c r="D32" s="105">
        <v>2.0099999999999998</v>
      </c>
      <c r="E32" s="105">
        <v>3.39</v>
      </c>
      <c r="F32" s="105">
        <v>11.89</v>
      </c>
      <c r="G32" s="116"/>
    </row>
    <row r="33" spans="2:6" ht="15.75" customHeight="1" x14ac:dyDescent="0.2">
      <c r="B33" s="16" t="s">
        <v>16</v>
      </c>
      <c r="C33" s="102">
        <v>1</v>
      </c>
      <c r="D33" s="105">
        <v>1</v>
      </c>
      <c r="E33" s="105">
        <v>999.99</v>
      </c>
      <c r="F33" s="105">
        <v>999.99</v>
      </c>
    </row>
    <row r="34" spans="2:6" ht="15.75" customHeight="1" x14ac:dyDescent="0.2">
      <c r="B34" s="16" t="s">
        <v>17</v>
      </c>
      <c r="C34" s="102">
        <v>1</v>
      </c>
      <c r="D34" s="105">
        <v>1</v>
      </c>
      <c r="E34" s="105">
        <v>1</v>
      </c>
      <c r="F34" s="105">
        <v>1</v>
      </c>
    </row>
    <row r="35" spans="2:6" ht="15.75" customHeight="1" x14ac:dyDescent="0.2">
      <c r="B35" s="16" t="s">
        <v>37</v>
      </c>
      <c r="C35" s="102">
        <v>1</v>
      </c>
      <c r="D35" s="105">
        <v>1</v>
      </c>
      <c r="E35" s="105">
        <v>1</v>
      </c>
      <c r="F35" s="105">
        <v>1</v>
      </c>
    </row>
    <row r="36" spans="2:6" ht="15.75" customHeight="1" x14ac:dyDescent="0.2">
      <c r="B36" s="16" t="s">
        <v>19</v>
      </c>
      <c r="C36" s="102">
        <v>1</v>
      </c>
      <c r="D36" s="105">
        <v>1</v>
      </c>
      <c r="E36" s="105">
        <v>1</v>
      </c>
      <c r="F36" s="105">
        <v>1</v>
      </c>
    </row>
    <row r="37" spans="2:6" ht="15.75" customHeight="1" x14ac:dyDescent="0.2">
      <c r="B37" s="86"/>
    </row>
    <row r="39" spans="2:6" ht="15.75" customHeight="1" x14ac:dyDescent="0.2">
      <c r="B39" s="7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25</vt:i4>
      </vt:variant>
    </vt:vector>
  </HeadingPairs>
  <TitlesOfParts>
    <vt:vector size="57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Fertility risks</vt:lpstr>
      <vt:lpstr>IYCF packages</vt:lpstr>
      <vt:lpstr>Birth outcome risks</vt:lpstr>
      <vt:lpstr>Relative risks</vt:lpstr>
      <vt:lpstr>Odds ratios</vt:lpstr>
      <vt:lpstr>Incidence of conditions</vt:lpstr>
      <vt:lpstr>Prevalence of anaemia</vt:lpstr>
      <vt:lpstr>IYCF package odds ratios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  <vt:lpstr>abortion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frac_MAMtoSAM</vt:lpstr>
      <vt:lpstr>frac_other_staples</vt:lpstr>
      <vt:lpstr>frac_PW_health_facility</vt:lpstr>
      <vt:lpstr>frac_rice</vt:lpstr>
      <vt:lpstr>frac_SAMtoMAM</vt:lpstr>
      <vt:lpstr>frac_subsistence_farming</vt:lpstr>
      <vt:lpstr>frac_wheat</vt:lpstr>
      <vt:lpstr>infant_mortality</vt:lpstr>
      <vt:lpstr>iron_deficiency_anaemia</vt:lpstr>
      <vt:lpstr>maternal_mortality</vt:lpstr>
      <vt:lpstr>neonatal_mortality</vt:lpstr>
      <vt:lpstr>preterm_AGA</vt:lpstr>
      <vt:lpstr>preterm_SGA</vt:lpstr>
      <vt:lpstr>school_attendance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2017-08-01T10:42:13Z</dcterms:created>
  <dcterms:modified xsi:type="dcterms:W3CDTF">2018-02-08T21:40:45Z</dcterms:modified>
</cp:coreProperties>
</file>