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C426E6F8-95F2-4740-9CEC-5CEEEFF081ED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<sst xmlns="http://schemas.openxmlformats.org/spreadsheetml/2006/main" count="1109" uniqueCount="272">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</sst>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76611</v>
      </c>
    </row>
    <row r="8" spans="1:3" ht="15" customHeight="1">
      <c r="B8" s="7" t="s">
        <v>106</v>
      </c>
      <c r="C8" s="66">
        <v>0.14000000000000001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0.85866676330566405</v>
      </c>
    </row>
    <row r="11" spans="1:3" ht="15" customHeight="1">
      <c r="B11" s="7" t="s">
        <v>108</v>
      </c>
      <c r="C11" s="66">
        <v>0.86699999999999999</v>
      </c>
    </row>
    <row r="12" spans="1:3" ht="15" customHeight="1">
      <c r="B12" s="7" t="s">
        <v>109</v>
      </c>
      <c r="C12" s="66">
        <v>0.83599999999999997</v>
      </c>
    </row>
    <row r="13" spans="1:3" ht="15" customHeight="1">
      <c r="B13" s="7" t="s">
        <v>110</v>
      </c>
      <c r="C13" s="66">
        <v>0.47499999999999998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0.17370000000000002</v>
      </c>
    </row>
    <row r="24" spans="1:3" ht="15" customHeight="1">
      <c r="B24" s="20" t="s">
        <v>102</v>
      </c>
      <c r="C24" s="67">
        <v>0.52529999999999999</v>
      </c>
    </row>
    <row r="25" spans="1:3" ht="15" customHeight="1">
      <c r="B25" s="20" t="s">
        <v>103</v>
      </c>
      <c r="C25" s="67">
        <v>0.26539999999999997</v>
      </c>
    </row>
    <row r="26" spans="1:3" ht="15" customHeight="1">
      <c r="B26" s="20" t="s">
        <v>104</v>
      </c>
      <c r="C26" s="67">
        <v>3.5600000000000007E-2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0.33100000000000002</v>
      </c>
    </row>
    <row r="30" spans="1:3" ht="14.25" customHeight="1">
      <c r="B30" s="30" t="s">
        <v>76</v>
      </c>
      <c r="C30" s="69">
        <v>6.2E-2</v>
      </c>
    </row>
    <row r="31" spans="1:3" ht="14.25" customHeight="1">
      <c r="B31" s="30" t="s">
        <v>77</v>
      </c>
      <c r="C31" s="69">
        <v>0.12</v>
      </c>
    </row>
    <row r="32" spans="1:3" ht="14.25" customHeight="1">
      <c r="B32" s="30" t="s">
        <v>78</v>
      </c>
      <c r="C32" s="69">
        <v>0.48700000000000004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18.899999999999999</v>
      </c>
    </row>
    <row r="38" spans="1:5" ht="15" customHeight="1">
      <c r="B38" s="16" t="s">
        <v>91</v>
      </c>
      <c r="C38" s="68">
        <v>26</v>
      </c>
      <c r="D38" s="17"/>
      <c r="E38" s="18"/>
    </row>
    <row r="39" spans="1:5" ht="15" customHeight="1">
      <c r="B39" s="16" t="s">
        <v>90</v>
      </c>
      <c r="C39" s="68">
        <v>31.3</v>
      </c>
      <c r="D39" s="17"/>
      <c r="E39" s="17"/>
    </row>
    <row r="40" spans="1:5" ht="15" customHeight="1">
      <c r="B40" s="16" t="s">
        <v>171</v>
      </c>
      <c r="C40" s="68">
        <v>2.29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17.2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2.76E-2</v>
      </c>
      <c r="D45" s="17"/>
    </row>
    <row r="46" spans="1:5" ht="15.75" customHeight="1">
      <c r="B46" s="16" t="s">
        <v>11</v>
      </c>
      <c r="C46" s="67">
        <v>0.1048</v>
      </c>
      <c r="D46" s="17"/>
    </row>
    <row r="47" spans="1:5" ht="15.75" customHeight="1">
      <c r="B47" s="16" t="s">
        <v>12</v>
      </c>
      <c r="C47" s="67">
        <v>0.16329999999999997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0.70430000000000004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1.6131153241625</v>
      </c>
      <c r="D51" s="17"/>
    </row>
    <row r="52" spans="1:4" ht="15" customHeight="1">
      <c r="B52" s="16" t="s">
        <v>125</v>
      </c>
      <c r="C52" s="65">
        <v>1.3691038197399998</v>
      </c>
    </row>
    <row r="53" spans="1:4" ht="15.75" customHeight="1">
      <c r="B53" s="16" t="s">
        <v>126</v>
      </c>
      <c r="C53" s="65">
        <v>1.3691038197399998</v>
      </c>
    </row>
    <row r="54" spans="1:4" ht="15.75" customHeight="1">
      <c r="B54" s="16" t="s">
        <v>127</v>
      </c>
      <c r="C54" s="65">
        <v>1.1271898323</v>
      </c>
    </row>
    <row r="55" spans="1:4" ht="15.75" customHeight="1">
      <c r="B55" s="16" t="s">
        <v>128</v>
      </c>
      <c r="C55" s="65">
        <v>1.1271898323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1.9347037484885126E-2</v>
      </c>
    </row>
    <row r="59" spans="1:4" ht="15.75" customHeight="1">
      <c r="B59" s="16" t="s">
        <v>132</v>
      </c>
      <c r="C59" s="66">
        <v>0.47322021795857949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17625</v>
      </c>
      <c r="C2" s="75">
        <v>37000</v>
      </c>
      <c r="D2" s="75">
        <v>72000</v>
      </c>
      <c r="E2" s="75">
        <v>46000</v>
      </c>
      <c r="F2" s="75">
        <v>48000</v>
      </c>
      <c r="G2" s="22">
        <f t="shared" ref="G2:G40" si="0">C2+D2+E2+F2</f>
        <v>203000</v>
      </c>
      <c r="H2" s="22">
        <f t="shared" ref="H2:H40" si="1">(B2 + stillbirth*B2/(1000-stillbirth))/(1-abortion)</f>
        <v>20613.167164891303</v>
      </c>
      <c r="I2" s="22">
        <f>G2-H2</f>
        <v>182386.83283510868</v>
      </c>
    </row>
    <row r="3" spans="1:9" ht="15.75" customHeight="1">
      <c r="A3" s="92">
        <f t="shared" ref="A3:A40" si="2">IF($A$2+ROW(A3)-2&lt;=end_year,A2+1,"")</f>
        <v>2021</v>
      </c>
      <c r="B3" s="74">
        <v>17393</v>
      </c>
      <c r="C3" s="75">
        <v>36000</v>
      </c>
      <c r="D3" s="75">
        <v>73000</v>
      </c>
      <c r="E3" s="75">
        <v>46000</v>
      </c>
      <c r="F3" s="75">
        <v>48000</v>
      </c>
      <c r="G3" s="22">
        <f t="shared" si="0"/>
        <v>203000</v>
      </c>
      <c r="H3" s="22">
        <f t="shared" si="1"/>
        <v>20341.833560224368</v>
      </c>
      <c r="I3" s="22">
        <f t="shared" ref="I3:I15" si="3">G3-H3</f>
        <v>182658.16643977564</v>
      </c>
    </row>
    <row r="4" spans="1:9" ht="15.75" customHeight="1">
      <c r="A4" s="92">
        <f t="shared" si="2"/>
        <v>2022</v>
      </c>
      <c r="B4" s="74">
        <v>17115</v>
      </c>
      <c r="C4" s="75">
        <v>35000</v>
      </c>
      <c r="D4" s="75">
        <v>73000</v>
      </c>
      <c r="E4" s="75">
        <v>48000</v>
      </c>
      <c r="F4" s="75">
        <v>49000</v>
      </c>
      <c r="G4" s="22">
        <f t="shared" si="0"/>
        <v>205000</v>
      </c>
      <c r="H4" s="22">
        <f t="shared" si="1"/>
        <v>20016.701051183809</v>
      </c>
      <c r="I4" s="22">
        <f t="shared" si="3"/>
        <v>184983.2989488162</v>
      </c>
    </row>
    <row r="5" spans="1:9" ht="15.75" customHeight="1">
      <c r="A5" s="92" t="str">
        <f t="shared" si="2"/>
        <v/>
      </c>
      <c r="B5" s="74">
        <v>15184.087600000001</v>
      </c>
      <c r="C5" s="75">
        <v>35000</v>
      </c>
      <c r="D5" s="75">
        <v>72000</v>
      </c>
      <c r="E5" s="75">
        <v>49000</v>
      </c>
      <c r="F5" s="75">
        <v>49000</v>
      </c>
      <c r="G5" s="22">
        <f t="shared" si="0"/>
        <v>205000</v>
      </c>
      <c r="H5" s="22">
        <f t="shared" si="1"/>
        <v>17758.419060717912</v>
      </c>
      <c r="I5" s="22">
        <f t="shared" si="3"/>
        <v>187241.58093928208</v>
      </c>
    </row>
    <row r="6" spans="1:9" ht="15.75" customHeight="1">
      <c r="A6" s="92" t="str">
        <f t="shared" si="2"/>
        <v/>
      </c>
      <c r="B6" s="74">
        <v>15042.964200000002</v>
      </c>
      <c r="C6" s="75">
        <v>34000</v>
      </c>
      <c r="D6" s="75">
        <v>70000</v>
      </c>
      <c r="E6" s="75">
        <v>51000</v>
      </c>
      <c r="F6" s="75">
        <v>48000</v>
      </c>
      <c r="G6" s="22">
        <f t="shared" si="0"/>
        <v>203000</v>
      </c>
      <c r="H6" s="22">
        <f t="shared" si="1"/>
        <v>17593.369401990094</v>
      </c>
      <c r="I6" s="22">
        <f t="shared" si="3"/>
        <v>185406.63059800991</v>
      </c>
    </row>
    <row r="7" spans="1:9" ht="15.75" customHeight="1">
      <c r="A7" s="92" t="str">
        <f t="shared" si="2"/>
        <v/>
      </c>
      <c r="B7" s="74">
        <v>14899.691999999999</v>
      </c>
      <c r="C7" s="75">
        <v>34000</v>
      </c>
      <c r="D7" s="75">
        <v>69000</v>
      </c>
      <c r="E7" s="75">
        <v>53000</v>
      </c>
      <c r="F7" s="75">
        <v>47000</v>
      </c>
      <c r="G7" s="22">
        <f t="shared" si="0"/>
        <v>203000</v>
      </c>
      <c r="H7" s="22">
        <f t="shared" si="1"/>
        <v>17425.806632703185</v>
      </c>
      <c r="I7" s="22">
        <f t="shared" si="3"/>
        <v>185574.19336729683</v>
      </c>
    </row>
    <row r="8" spans="1:9" ht="15.75" customHeight="1">
      <c r="A8" s="92" t="str">
        <f t="shared" si="2"/>
        <v/>
      </c>
      <c r="B8" s="74">
        <v>14735.679199999999</v>
      </c>
      <c r="C8" s="75">
        <v>33000</v>
      </c>
      <c r="D8" s="75">
        <v>68000</v>
      </c>
      <c r="E8" s="75">
        <v>55000</v>
      </c>
      <c r="F8" s="75">
        <v>46000</v>
      </c>
      <c r="G8" s="22">
        <f t="shared" si="0"/>
        <v>202000</v>
      </c>
      <c r="H8" s="22">
        <f t="shared" si="1"/>
        <v>17233.986873067333</v>
      </c>
      <c r="I8" s="22">
        <f t="shared" si="3"/>
        <v>184766.01312693267</v>
      </c>
    </row>
    <row r="9" spans="1:9" ht="15.75" customHeight="1">
      <c r="A9" s="92" t="str">
        <f t="shared" si="2"/>
        <v/>
      </c>
      <c r="B9" s="74">
        <v>14570.051199999998</v>
      </c>
      <c r="C9" s="75">
        <v>33000</v>
      </c>
      <c r="D9" s="75">
        <v>67000</v>
      </c>
      <c r="E9" s="75">
        <v>58000</v>
      </c>
      <c r="F9" s="75">
        <v>45000</v>
      </c>
      <c r="G9" s="22">
        <f t="shared" si="0"/>
        <v>203000</v>
      </c>
      <c r="H9" s="22">
        <f t="shared" si="1"/>
        <v>17040.278070163124</v>
      </c>
      <c r="I9" s="22">
        <f t="shared" si="3"/>
        <v>185959.72192983687</v>
      </c>
    </row>
    <row r="10" spans="1:9" ht="15.75" customHeight="1">
      <c r="A10" s="92" t="str">
        <f t="shared" si="2"/>
        <v/>
      </c>
      <c r="B10" s="74">
        <v>14402.807999999995</v>
      </c>
      <c r="C10" s="75">
        <v>34000</v>
      </c>
      <c r="D10" s="75">
        <v>65000</v>
      </c>
      <c r="E10" s="75">
        <v>61000</v>
      </c>
      <c r="F10" s="75">
        <v>44000</v>
      </c>
      <c r="G10" s="22">
        <f t="shared" si="0"/>
        <v>204000</v>
      </c>
      <c r="H10" s="22">
        <f t="shared" si="1"/>
        <v>16844.680223990563</v>
      </c>
      <c r="I10" s="22">
        <f t="shared" si="3"/>
        <v>187155.31977600945</v>
      </c>
    </row>
    <row r="11" spans="1:9" ht="15.75" customHeight="1">
      <c r="A11" s="92" t="str">
        <f t="shared" si="2"/>
        <v/>
      </c>
      <c r="B11" s="74">
        <v>14233.949599999996</v>
      </c>
      <c r="C11" s="75">
        <v>34000</v>
      </c>
      <c r="D11" s="75">
        <v>65000</v>
      </c>
      <c r="E11" s="75">
        <v>62000</v>
      </c>
      <c r="F11" s="75">
        <v>42000</v>
      </c>
      <c r="G11" s="22">
        <f t="shared" si="0"/>
        <v>203000</v>
      </c>
      <c r="H11" s="22">
        <f t="shared" si="1"/>
        <v>16647.193334549651</v>
      </c>
      <c r="I11" s="22">
        <f t="shared" si="3"/>
        <v>186352.80666545033</v>
      </c>
    </row>
    <row r="12" spans="1:9" ht="15.75" customHeight="1">
      <c r="A12" s="92" t="str">
        <f t="shared" si="2"/>
        <v/>
      </c>
      <c r="B12" s="74">
        <v>14046.45</v>
      </c>
      <c r="C12" s="75">
        <v>34000</v>
      </c>
      <c r="D12" s="75">
        <v>63000</v>
      </c>
      <c r="E12" s="75">
        <v>64000</v>
      </c>
      <c r="F12" s="75">
        <v>43000</v>
      </c>
      <c r="G12" s="22">
        <f t="shared" si="0"/>
        <v>204000</v>
      </c>
      <c r="H12" s="22">
        <f t="shared" si="1"/>
        <v>16427.904789973756</v>
      </c>
      <c r="I12" s="22">
        <f t="shared" si="3"/>
        <v>187572.09521002625</v>
      </c>
    </row>
    <row r="13" spans="1:9" ht="15.75" customHeight="1">
      <c r="A13" s="92" t="str">
        <f t="shared" si="2"/>
        <v/>
      </c>
      <c r="B13" s="74">
        <v>38000</v>
      </c>
      <c r="C13" s="75">
        <v>71000</v>
      </c>
      <c r="D13" s="75">
        <v>47000</v>
      </c>
      <c r="E13" s="75">
        <v>48000</v>
      </c>
      <c r="F13" s="75">
        <v>2.814860525E-2</v>
      </c>
      <c r="G13" s="22">
        <f t="shared" si="0"/>
        <v>166000.02814860526</v>
      </c>
      <c r="H13" s="22">
        <f t="shared" si="1"/>
        <v>44442.573178205363</v>
      </c>
      <c r="I13" s="22">
        <f t="shared" si="3"/>
        <v>121557.45497039989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2.814860525E-2</v>
      </c>
    </row>
    <row r="4" spans="1:8" ht="15.75" customHeight="1">
      <c r="B4" s="24" t="s">
        <v>7</v>
      </c>
      <c r="C4" s="76">
        <v>0.25160249547358704</v>
      </c>
    </row>
    <row r="5" spans="1:8" ht="15.75" customHeight="1">
      <c r="B5" s="24" t="s">
        <v>8</v>
      </c>
      <c r="C5" s="76">
        <v>6.2141064858799673E-2</v>
      </c>
    </row>
    <row r="6" spans="1:8" ht="15.75" customHeight="1">
      <c r="B6" s="24" t="s">
        <v>10</v>
      </c>
      <c r="C6" s="76">
        <v>0.132634299566256</v>
      </c>
    </row>
    <row r="7" spans="1:8" ht="15.75" customHeight="1">
      <c r="B7" s="24" t="s">
        <v>13</v>
      </c>
      <c r="C7" s="76">
        <v>0.22679234307932028</v>
      </c>
    </row>
    <row r="8" spans="1:8" ht="15.75" customHeight="1">
      <c r="B8" s="24" t="s">
        <v>14</v>
      </c>
      <c r="C8" s="76">
        <v>1.2062136517387812E-4</v>
      </c>
    </row>
    <row r="9" spans="1:8" ht="15.75" customHeight="1">
      <c r="B9" s="24" t="s">
        <v>27</v>
      </c>
      <c r="C9" s="76">
        <v>0.10345317144235493</v>
      </c>
    </row>
    <row r="10" spans="1:8" ht="15.75" customHeight="1">
      <c r="B10" s="24" t="s">
        <v>15</v>
      </c>
      <c r="C10" s="76">
        <v>0.19510739896450824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0.150675283774449</v>
      </c>
      <c r="D14" s="76">
        <v>0.150675283774449</v>
      </c>
      <c r="E14" s="76">
        <v>7.6947007419571195E-2</v>
      </c>
      <c r="F14" s="76">
        <v>7.6947007419571195E-2</v>
      </c>
    </row>
    <row r="15" spans="1:8" ht="15.75" customHeight="1">
      <c r="B15" s="24" t="s">
        <v>16</v>
      </c>
      <c r="C15" s="76">
        <v>0.19453298998489602</v>
      </c>
      <c r="D15" s="76">
        <v>0.19453298998489602</v>
      </c>
      <c r="E15" s="76">
        <v>0.117351025845485</v>
      </c>
      <c r="F15" s="76">
        <v>0.117351025845485</v>
      </c>
    </row>
    <row r="16" spans="1:8" ht="15.75" customHeight="1">
      <c r="B16" s="24" t="s">
        <v>17</v>
      </c>
      <c r="C16" s="76">
        <v>1.7313936132997601E-2</v>
      </c>
      <c r="D16" s="76">
        <v>1.7313936132997601E-2</v>
      </c>
      <c r="E16" s="76">
        <v>1.53663905917717E-2</v>
      </c>
      <c r="F16" s="76">
        <v>1.53663905917717E-2</v>
      </c>
    </row>
    <row r="17" spans="1:8" ht="15.75" customHeight="1">
      <c r="B17" s="24" t="s">
        <v>18</v>
      </c>
      <c r="C17" s="76">
        <v>1.8436843742898899E-4</v>
      </c>
      <c r="D17" s="76">
        <v>1.8436843742898899E-4</v>
      </c>
      <c r="E17" s="76">
        <v>5.1286662108896602E-4</v>
      </c>
      <c r="F17" s="76">
        <v>5.1286662108896602E-4</v>
      </c>
    </row>
    <row r="18" spans="1:8" ht="15.75" customHeight="1">
      <c r="B18" s="24" t="s">
        <v>19</v>
      </c>
      <c r="C18" s="76">
        <v>2.6852929426413401E-3</v>
      </c>
      <c r="D18" s="76">
        <v>2.6852929426413401E-3</v>
      </c>
      <c r="E18" s="76">
        <v>8.6450773172393799E-3</v>
      </c>
      <c r="F18" s="76">
        <v>8.6450773172393799E-3</v>
      </c>
    </row>
    <row r="19" spans="1:8" ht="15.75" customHeight="1">
      <c r="B19" s="24" t="s">
        <v>20</v>
      </c>
      <c r="C19" s="76">
        <v>1.9022242835321499E-3</v>
      </c>
      <c r="D19" s="76">
        <v>1.9022242835321499E-3</v>
      </c>
      <c r="E19" s="76">
        <v>1.2032742181731599E-3</v>
      </c>
      <c r="F19" s="76">
        <v>1.2032742181731599E-3</v>
      </c>
    </row>
    <row r="20" spans="1:8" ht="15.75" customHeight="1">
      <c r="B20" s="24" t="s">
        <v>21</v>
      </c>
      <c r="C20" s="76">
        <v>3.5024283588147798E-2</v>
      </c>
      <c r="D20" s="76">
        <v>3.5024283588147798E-2</v>
      </c>
      <c r="E20" s="76">
        <v>3.7541117111889198E-2</v>
      </c>
      <c r="F20" s="76">
        <v>3.7541117111889198E-2</v>
      </c>
    </row>
    <row r="21" spans="1:8" ht="15.75" customHeight="1">
      <c r="B21" s="24" t="s">
        <v>22</v>
      </c>
      <c r="C21" s="76">
        <v>9.2637861029058202E-2</v>
      </c>
      <c r="D21" s="76">
        <v>9.2637861029058202E-2</v>
      </c>
      <c r="E21" s="76">
        <v>0.23825325125456001</v>
      </c>
      <c r="F21" s="76">
        <v>0.23825325125456001</v>
      </c>
    </row>
    <row r="22" spans="1:8" ht="15.75" customHeight="1">
      <c r="B22" s="24" t="s">
        <v>23</v>
      </c>
      <c r="C22" s="76">
        <v>0.5050437598268489</v>
      </c>
      <c r="D22" s="76">
        <v>0.5050437598268489</v>
      </c>
      <c r="E22" s="76">
        <v>0.50417998962022148</v>
      </c>
      <c r="F22" s="76">
        <v>0.50417998962022148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5.6900000000000006E-2</v>
      </c>
    </row>
    <row r="27" spans="1:8" ht="15.75" customHeight="1">
      <c r="B27" s="24" t="s">
        <v>39</v>
      </c>
      <c r="C27" s="76">
        <v>0.1479</v>
      </c>
    </row>
    <row r="28" spans="1:8" ht="15.75" customHeight="1">
      <c r="B28" s="24" t="s">
        <v>40</v>
      </c>
      <c r="C28" s="76">
        <v>0.14150000000000001</v>
      </c>
    </row>
    <row r="29" spans="1:8" ht="15.75" customHeight="1">
      <c r="B29" s="24" t="s">
        <v>41</v>
      </c>
      <c r="C29" s="76">
        <v>0.128</v>
      </c>
    </row>
    <row r="30" spans="1:8" ht="15.75" customHeight="1">
      <c r="B30" s="24" t="s">
        <v>42</v>
      </c>
      <c r="C30" s="76">
        <v>5.0799999999999998E-2</v>
      </c>
    </row>
    <row r="31" spans="1:8" ht="15.75" customHeight="1">
      <c r="B31" s="24" t="s">
        <v>43</v>
      </c>
      <c r="C31" s="76">
        <v>0.1424</v>
      </c>
    </row>
    <row r="32" spans="1:8" ht="15.75" customHeight="1">
      <c r="B32" s="24" t="s">
        <v>44</v>
      </c>
      <c r="C32" s="76">
        <v>2.5699999999999997E-2</v>
      </c>
    </row>
    <row r="33" spans="2:3" ht="15.75" customHeight="1">
      <c r="B33" s="24" t="s">
        <v>45</v>
      </c>
      <c r="C33" s="76">
        <v>0.1082</v>
      </c>
    </row>
    <row r="34" spans="2:3" ht="15.75" customHeight="1">
      <c r="B34" s="24" t="s">
        <v>46</v>
      </c>
      <c r="C34" s="76">
        <v>0.19860000000223518</v>
      </c>
    </row>
    <row r="35" spans="2:3" ht="15.75" customHeight="1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0.72877991586854451</v>
      </c>
      <c r="D2" s="77">
        <v>0.73670000000000002</v>
      </c>
      <c r="E2" s="77">
        <v>0.79180000000000006</v>
      </c>
      <c r="F2" s="77">
        <v>0.63800000000000001</v>
      </c>
      <c r="G2" s="77">
        <v>0.67310000000000003</v>
      </c>
    </row>
    <row r="3" spans="1:15" ht="15.75" customHeight="1">
      <c r="A3" s="5"/>
      <c r="B3" s="11" t="s">
        <v>118</v>
      </c>
      <c r="C3" s="77">
        <v>0.12659999999999999</v>
      </c>
      <c r="D3" s="77">
        <v>0.12659999999999999</v>
      </c>
      <c r="E3" s="77">
        <v>0.1459</v>
      </c>
      <c r="F3" s="77">
        <v>0.23219999999999999</v>
      </c>
      <c r="G3" s="77">
        <v>0.21280000000000002</v>
      </c>
    </row>
    <row r="4" spans="1:15" ht="15.75" customHeight="1">
      <c r="A4" s="5"/>
      <c r="B4" s="11" t="s">
        <v>116</v>
      </c>
      <c r="C4" s="78">
        <v>8.3400000000000002E-2</v>
      </c>
      <c r="D4" s="78">
        <v>8.3400000000000002E-2</v>
      </c>
      <c r="E4" s="78">
        <v>5.4199999999999998E-2</v>
      </c>
      <c r="F4" s="78">
        <v>9.9299999999999999E-2</v>
      </c>
      <c r="G4" s="78">
        <v>8.1199999999999994E-2</v>
      </c>
    </row>
    <row r="5" spans="1:15" ht="15.75" customHeight="1">
      <c r="A5" s="5"/>
      <c r="B5" s="11" t="s">
        <v>119</v>
      </c>
      <c r="C5" s="78">
        <v>5.3200000000000004E-2</v>
      </c>
      <c r="D5" s="78">
        <v>5.33E-2</v>
      </c>
      <c r="E5" s="78">
        <v>8.0612900000000005E-3</v>
      </c>
      <c r="F5" s="78">
        <v>3.0499999999999999E-2</v>
      </c>
      <c r="G5" s="78">
        <v>3.2899999999999999E-2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0.71540000000000004</v>
      </c>
      <c r="D8" s="77">
        <v>0.71540000000000004</v>
      </c>
      <c r="E8" s="77">
        <v>0.7288</v>
      </c>
      <c r="F8" s="77">
        <v>0.83389999999999997</v>
      </c>
      <c r="G8" s="77">
        <v>0.73150000000000004</v>
      </c>
    </row>
    <row r="9" spans="1:15" ht="15.75" customHeight="1">
      <c r="B9" s="7" t="s">
        <v>121</v>
      </c>
      <c r="C9" s="77">
        <v>0.21190000000000001</v>
      </c>
      <c r="D9" s="77">
        <v>0.21190000000000001</v>
      </c>
      <c r="E9" s="77">
        <v>0.19350000000000001</v>
      </c>
      <c r="F9" s="77">
        <v>0.11289999999999999</v>
      </c>
      <c r="G9" s="77">
        <v>0.2039</v>
      </c>
    </row>
    <row r="10" spans="1:15" ht="15.75" customHeight="1">
      <c r="B10" s="7" t="s">
        <v>122</v>
      </c>
      <c r="C10" s="78">
        <v>4.99E-2</v>
      </c>
      <c r="D10" s="78">
        <v>4.99E-2</v>
      </c>
      <c r="E10" s="78">
        <v>5.8700000000000002E-2</v>
      </c>
      <c r="F10" s="78">
        <v>3.6200000000000003E-2</v>
      </c>
      <c r="G10" s="78">
        <v>4.8499999999999995E-2</v>
      </c>
    </row>
    <row r="11" spans="1:15" ht="15.75" customHeight="1">
      <c r="B11" s="7" t="s">
        <v>123</v>
      </c>
      <c r="C11" s="78">
        <v>2.2799999999999997E-2</v>
      </c>
      <c r="D11" s="78">
        <v>2.2799999999999997E-2</v>
      </c>
      <c r="E11" s="78">
        <v>1.9099999999999999E-2</v>
      </c>
      <c r="F11" s="78">
        <v>1.6899999999999998E-2</v>
      </c>
      <c r="G11" s="78">
        <v>1.6E-2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0.60847067900000007</v>
      </c>
      <c r="D14" s="79">
        <v>0.58133804313699999</v>
      </c>
      <c r="E14" s="79">
        <v>0.58133804313699999</v>
      </c>
      <c r="F14" s="79">
        <v>0.34640304007799999</v>
      </c>
      <c r="G14" s="79">
        <v>0.34640304007799999</v>
      </c>
      <c r="H14" s="80">
        <v>0.30423</v>
      </c>
      <c r="I14" s="80">
        <v>0.30423</v>
      </c>
      <c r="J14" s="80">
        <v>0.30423</v>
      </c>
      <c r="K14" s="80">
        <v>0.30423</v>
      </c>
      <c r="L14" s="80">
        <v>0.32335999999999998</v>
      </c>
      <c r="M14" s="80">
        <v>0.32335999999999998</v>
      </c>
      <c r="N14" s="80">
        <v>0.32335999999999998</v>
      </c>
      <c r="O14" s="80">
        <v>0.32335999999999998</v>
      </c>
    </row>
    <row r="15" spans="1:15" ht="15.75" customHeight="1">
      <c r="B15" s="16" t="s">
        <v>68</v>
      </c>
      <c r="C15" s="77">
        <f t="shared" ref="C15:O15" si="0">iron_deficiency_anaemia*C14</f>
        <v>0.28794062733778492</v>
      </c>
      <c r="D15" s="77">
        <f t="shared" si="0"/>
        <v>0.27510091548090521</v>
      </c>
      <c r="E15" s="77">
        <f t="shared" si="0"/>
        <v>0.27510091548090521</v>
      </c>
      <c r="F15" s="77">
        <f t="shared" si="0"/>
        <v>0.1639249221272257</v>
      </c>
      <c r="G15" s="77">
        <f t="shared" si="0"/>
        <v>0.1639249221272257</v>
      </c>
      <c r="H15" s="77">
        <f t="shared" si="0"/>
        <v>0.14396778690953863</v>
      </c>
      <c r="I15" s="77">
        <f t="shared" si="0"/>
        <v>0.14396778690953863</v>
      </c>
      <c r="J15" s="77">
        <f t="shared" si="0"/>
        <v>0.14396778690953863</v>
      </c>
      <c r="K15" s="77">
        <f t="shared" si="0"/>
        <v>0.14396778690953863</v>
      </c>
      <c r="L15" s="77">
        <f t="shared" si="0"/>
        <v>0.15302048967908627</v>
      </c>
      <c r="M15" s="77">
        <f t="shared" si="0"/>
        <v>0.15302048967908627</v>
      </c>
      <c r="N15" s="77">
        <f t="shared" si="0"/>
        <v>0.15302048967908627</v>
      </c>
      <c r="O15" s="77">
        <f t="shared" si="0"/>
        <v>0.15302048967908627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0.37880000000000003</v>
      </c>
      <c r="D2" s="78">
        <v>0.21260000000000001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0.19339999999999999</v>
      </c>
      <c r="D3" s="78">
        <v>0.1328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0.38170000000000004</v>
      </c>
      <c r="D4" s="78">
        <v>0.50950000000000006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4.6099999999999919E-2</v>
      </c>
      <c r="D5" s="77">
        <f t="shared" ref="D5:G5" si="0">1-SUM(D2:D4)</f>
        <v>0.1450999999999999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0.1143</v>
      </c>
      <c r="D2" s="28">
        <v>0.1149</v>
      </c>
      <c r="E2" s="28">
        <v>0.11479999999999999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6.4399999999999999E-2</v>
      </c>
      <c r="D4" s="28">
        <v>6.4399999999999999E-2</v>
      </c>
      <c r="E4" s="28">
        <v>6.4399999999999999E-2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0.58133804313699999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0.30423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0.32335999999999998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0.21260000000000001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21.645</v>
      </c>
      <c r="D13" s="28">
        <v>20.835000000000001</v>
      </c>
      <c r="E13" s="28">
        <v>20.081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2.29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60.485902574974247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39.935189433056244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452.91394116290678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0.70869763079820258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1.5346551475381369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1.5346551475381369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1.5346551475381369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1.5346551475381369</v>
      </c>
      <c r="E13" s="86" t="s">
        <v>201</v>
      </c>
    </row>
    <row r="14" spans="1:5" ht="15.75" customHeight="1">
      <c r="A14" s="11" t="s">
        <v>189</v>
      </c>
      <c r="B14" s="85">
        <v>0.25</v>
      </c>
      <c r="C14" s="85">
        <v>0.95</v>
      </c>
      <c r="D14" s="86">
        <v>13.067488876852154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13.067488876852154</v>
      </c>
      <c r="E15" s="86" t="s">
        <v>201</v>
      </c>
    </row>
    <row r="16" spans="1:5" ht="15.75" customHeight="1">
      <c r="A16" s="53" t="s">
        <v>57</v>
      </c>
      <c r="B16" s="85">
        <v>1E-3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0.77775449539503461</v>
      </c>
      <c r="E17" s="86" t="s">
        <v>201</v>
      </c>
    </row>
    <row r="18" spans="1:5" ht="15.75" customHeight="1">
      <c r="A18" s="53" t="s">
        <v>175</v>
      </c>
      <c r="B18" s="85">
        <v>0.17300000000000001</v>
      </c>
      <c r="C18" s="85">
        <v>0.95</v>
      </c>
      <c r="D18" s="86">
        <v>10.429698010738493</v>
      </c>
      <c r="E18" s="86" t="s">
        <v>201</v>
      </c>
    </row>
    <row r="19" spans="1:5" ht="15.75" customHeight="1">
      <c r="A19" s="53" t="s">
        <v>174</v>
      </c>
      <c r="B19" s="85">
        <v>0.40600000000000003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7.1524381906876151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22.579312803378102</v>
      </c>
      <c r="E22" s="86" t="s">
        <v>201</v>
      </c>
    </row>
    <row r="23" spans="1:5" ht="15.75" customHeight="1">
      <c r="A23" s="53" t="s">
        <v>34</v>
      </c>
      <c r="B23" s="85">
        <v>5.2999999999999999E-2</v>
      </c>
      <c r="C23" s="85">
        <v>0.95</v>
      </c>
      <c r="D23" s="86">
        <v>4.3139060578863351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18.690391823443857</v>
      </c>
      <c r="E24" s="86" t="s">
        <v>201</v>
      </c>
    </row>
    <row r="25" spans="1:5" ht="15.75" customHeight="1">
      <c r="A25" s="53" t="s">
        <v>87</v>
      </c>
      <c r="B25" s="85">
        <v>0.41200000000000003</v>
      </c>
      <c r="C25" s="85">
        <v>0.95</v>
      </c>
      <c r="D25" s="86">
        <v>18.613811250129757</v>
      </c>
      <c r="E25" s="86" t="s">
        <v>201</v>
      </c>
    </row>
    <row r="26" spans="1:5" ht="15.75" customHeight="1">
      <c r="A26" s="53" t="s">
        <v>137</v>
      </c>
      <c r="B26" s="85">
        <v>0.34200000000000003</v>
      </c>
      <c r="C26" s="85">
        <v>0.95</v>
      </c>
      <c r="D26" s="86">
        <v>5.3434294277000118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7.6856248220904524</v>
      </c>
      <c r="E27" s="86" t="s">
        <v>201</v>
      </c>
    </row>
    <row r="28" spans="1:5" ht="15.75" customHeight="1">
      <c r="A28" s="53" t="s">
        <v>84</v>
      </c>
      <c r="B28" s="85">
        <v>0.42499999999999999</v>
      </c>
      <c r="C28" s="85">
        <v>0.95</v>
      </c>
      <c r="D28" s="86">
        <v>0.91163303946606666</v>
      </c>
      <c r="E28" s="86" t="s">
        <v>201</v>
      </c>
    </row>
    <row r="29" spans="1:5" ht="15.75" customHeight="1">
      <c r="A29" s="53" t="s">
        <v>58</v>
      </c>
      <c r="B29" s="85">
        <v>0.40600000000000003</v>
      </c>
      <c r="C29" s="85">
        <v>0.95</v>
      </c>
      <c r="D29" s="86">
        <v>119.25460236637704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281.61044268625614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281.61044268625614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1.6681309666930346</v>
      </c>
      <c r="E32" s="86" t="s">
        <v>201</v>
      </c>
    </row>
    <row r="33" spans="1:6" ht="15.75" customHeight="1">
      <c r="A33" s="53" t="s">
        <v>83</v>
      </c>
      <c r="B33" s="85">
        <v>0.78799999999999992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0.43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0.85799999999999998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0.95499999999999996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0.624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1.3000000000000001E-2</v>
      </c>
      <c r="C38" s="85">
        <v>0.95</v>
      </c>
      <c r="D38" s="86">
        <v>2.0354627994348293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1.6892531728074744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1.6131153241625</v>
      </c>
      <c r="C2" s="26">
        <f>'Baseline year population inputs'!C52</f>
        <v>1.3691038197399998</v>
      </c>
      <c r="D2" s="26">
        <f>'Baseline year population inputs'!C53</f>
        <v>1.3691038197399998</v>
      </c>
      <c r="E2" s="26">
        <f>'Baseline year population inputs'!C54</f>
        <v>1.1271898323</v>
      </c>
      <c r="F2" s="26">
        <f>'Baseline year population inputs'!C55</f>
        <v>1.1271898323</v>
      </c>
    </row>
    <row r="3" spans="1:6" ht="15.75" customHeight="1">
      <c r="A3" s="3" t="s">
        <v>65</v>
      </c>
      <c r="B3" s="26">
        <f>frac_mam_1month * 2.6</f>
        <v>0.12973999999999999</v>
      </c>
      <c r="C3" s="26">
        <f>frac_mam_1_5months * 2.6</f>
        <v>0.12973999999999999</v>
      </c>
      <c r="D3" s="26">
        <f>frac_mam_6_11months * 2.6</f>
        <v>0.15262000000000001</v>
      </c>
      <c r="E3" s="26">
        <f>frac_mam_12_23months * 2.6</f>
        <v>9.4120000000000009E-2</v>
      </c>
      <c r="F3" s="26">
        <f>frac_mam_24_59months * 2.6</f>
        <v>0.12609999999999999</v>
      </c>
    </row>
    <row r="4" spans="1:6" ht="15.75" customHeight="1">
      <c r="A4" s="3" t="s">
        <v>66</v>
      </c>
      <c r="B4" s="26">
        <f>frac_sam_1month * 2.6</f>
        <v>5.9279999999999992E-2</v>
      </c>
      <c r="C4" s="26">
        <f>frac_sam_1_5months * 2.6</f>
        <v>5.9279999999999992E-2</v>
      </c>
      <c r="D4" s="26">
        <f>frac_sam_6_11months * 2.6</f>
        <v>4.9659999999999996E-2</v>
      </c>
      <c r="E4" s="26">
        <f>frac_sam_12_23months * 2.6</f>
        <v>4.394E-2</v>
      </c>
      <c r="F4" s="26">
        <f>frac_sam_24_59months * 2.6</f>
        <v>4.1600000000000005E-2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0.14000000000000001</v>
      </c>
      <c r="E2" s="93">
        <f>food_insecure</f>
        <v>0.14000000000000001</v>
      </c>
      <c r="F2" s="93">
        <f>food_insecure</f>
        <v>0.14000000000000001</v>
      </c>
      <c r="G2" s="93">
        <f>food_insecure</f>
        <v>0.14000000000000001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0.14000000000000001</v>
      </c>
      <c r="F5" s="93">
        <f>food_insecure</f>
        <v>0.14000000000000001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1.6131153241625</v>
      </c>
      <c r="D7" s="93">
        <f>diarrhoea_1_5mo</f>
        <v>1.3691038197399998</v>
      </c>
      <c r="E7" s="93">
        <f>diarrhoea_6_11mo</f>
        <v>1.3691038197399998</v>
      </c>
      <c r="F7" s="93">
        <f>diarrhoea_12_23mo</f>
        <v>1.1271898323</v>
      </c>
      <c r="G7" s="93">
        <f>diarrhoea_24_59mo</f>
        <v>1.1271898323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0.14000000000000001</v>
      </c>
      <c r="F8" s="93">
        <f>food_insecure</f>
        <v>0.14000000000000001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1.6131153241625</v>
      </c>
      <c r="D12" s="93">
        <f>diarrhoea_1_5mo</f>
        <v>1.3691038197399998</v>
      </c>
      <c r="E12" s="93">
        <f>diarrhoea_6_11mo</f>
        <v>1.3691038197399998</v>
      </c>
      <c r="F12" s="93">
        <f>diarrhoea_12_23mo</f>
        <v>1.1271898323</v>
      </c>
      <c r="G12" s="93">
        <f>diarrhoea_24_59mo</f>
        <v>1.1271898323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0.14000000000000001</v>
      </c>
      <c r="I15" s="93">
        <f>food_insecure</f>
        <v>0.14000000000000001</v>
      </c>
      <c r="J15" s="93">
        <f>food_insecure</f>
        <v>0.14000000000000001</v>
      </c>
      <c r="K15" s="93">
        <f>food_insecure</f>
        <v>0.14000000000000001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0.86699999999999999</v>
      </c>
      <c r="I18" s="93">
        <f>frac_PW_health_facility</f>
        <v>0.86699999999999999</v>
      </c>
      <c r="J18" s="93">
        <f>frac_PW_health_facility</f>
        <v>0.86699999999999999</v>
      </c>
      <c r="K18" s="93">
        <f>frac_PW_health_facility</f>
        <v>0.86699999999999999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0.47499999999999998</v>
      </c>
      <c r="M24" s="93">
        <f>famplan_unmet_need</f>
        <v>0.47499999999999998</v>
      </c>
      <c r="N24" s="93">
        <f>famplan_unmet_need</f>
        <v>0.47499999999999998</v>
      </c>
      <c r="O24" s="93">
        <f>famplan_unmet_need</f>
        <v>0.47499999999999998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7.3408483139038097E-2</v>
      </c>
      <c r="M25" s="93">
        <f>(1-food_insecure)*(0.49)+food_insecure*(0.7)</f>
        <v>0.51939999999999997</v>
      </c>
      <c r="N25" s="93">
        <f>(1-food_insecure)*(0.49)+food_insecure*(0.7)</f>
        <v>0.51939999999999997</v>
      </c>
      <c r="O25" s="93">
        <f>(1-food_insecure)*(0.49)+food_insecure*(0.7)</f>
        <v>0.51939999999999997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3.1460778488159181E-2</v>
      </c>
      <c r="M26" s="93">
        <f>(1-food_insecure)*(0.21)+food_insecure*(0.3)</f>
        <v>0.22259999999999999</v>
      </c>
      <c r="N26" s="93">
        <f>(1-food_insecure)*(0.21)+food_insecure*(0.3)</f>
        <v>0.22259999999999999</v>
      </c>
      <c r="O26" s="93">
        <f>(1-food_insecure)*(0.21)+food_insecure*(0.3)</f>
        <v>0.22259999999999999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3.6463975067138679E-2</v>
      </c>
      <c r="M27" s="93">
        <f>(1-food_insecure)*(0.3)</f>
        <v>0.25800000000000001</v>
      </c>
      <c r="N27" s="93">
        <f>(1-food_insecure)*(0.3)</f>
        <v>0.25800000000000001</v>
      </c>
      <c r="O27" s="93">
        <f>(1-food_insecure)*(0.3)</f>
        <v>0.25800000000000001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0.85866676330566405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2020-08-29T01:38:42Z</dcterms:modified>
</cp:coreProperties>
</file>