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940" yWindow="0" windowWidth="21940" windowHeight="13180" firstSheet="3" activeTab="3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5" i="7" l="1"/>
  <c r="P4" i="7"/>
  <c r="P3" i="7"/>
  <c r="P2" i="7"/>
  <c r="R2" i="7"/>
  <c r="R5" i="7"/>
  <c r="R4" i="7"/>
  <c r="R3" i="7"/>
  <c r="R14" i="7"/>
  <c r="R13" i="7"/>
  <c r="R12" i="7"/>
  <c r="R11" i="7"/>
  <c r="P14" i="7"/>
  <c r="P13" i="7"/>
  <c r="P12" i="7"/>
  <c r="P11" i="7"/>
  <c r="R50" i="7"/>
  <c r="R49" i="7"/>
  <c r="R48" i="7"/>
  <c r="R47" i="7"/>
  <c r="P50" i="7"/>
  <c r="P49" i="7"/>
  <c r="P48" i="7"/>
  <c r="P47" i="7"/>
  <c r="C11" i="7"/>
  <c r="C12" i="7"/>
  <c r="C13" i="7"/>
  <c r="C14" i="7"/>
  <c r="C2" i="7"/>
  <c r="C3" i="7"/>
  <c r="C4" i="7"/>
  <c r="C5" i="7"/>
  <c r="C174" i="12"/>
  <c r="C175" i="12"/>
  <c r="C176" i="12"/>
  <c r="C177" i="12"/>
  <c r="C178" i="12"/>
  <c r="C173" i="12"/>
  <c r="L6" i="4"/>
  <c r="P6" i="4"/>
  <c r="Q6" i="4"/>
  <c r="R6" i="4"/>
  <c r="S6" i="4"/>
  <c r="T6" i="4"/>
  <c r="H6" i="4"/>
  <c r="I6" i="4"/>
  <c r="J6" i="4"/>
  <c r="K6" i="4"/>
  <c r="M6" i="4"/>
  <c r="N6" i="4"/>
  <c r="O6" i="4"/>
  <c r="G6" i="4"/>
  <c r="F6" i="4"/>
  <c r="E6" i="4"/>
  <c r="A17" i="3"/>
  <c r="E17" i="3"/>
  <c r="T70" i="6"/>
  <c r="S70" i="6"/>
  <c r="T68" i="6"/>
  <c r="T67" i="6"/>
  <c r="S67" i="6"/>
  <c r="P66" i="6"/>
  <c r="S61" i="6"/>
  <c r="R61" i="6"/>
  <c r="Q61" i="6"/>
  <c r="P61" i="6"/>
  <c r="O61" i="6"/>
  <c r="T59" i="6"/>
  <c r="S59" i="6"/>
  <c r="R59" i="6"/>
  <c r="Q59" i="6"/>
  <c r="P59" i="6"/>
  <c r="O59" i="6"/>
  <c r="T58" i="6"/>
  <c r="S58" i="6"/>
  <c r="R58" i="6"/>
  <c r="Q58" i="6"/>
  <c r="P58" i="6"/>
  <c r="O58" i="6"/>
  <c r="T57" i="6"/>
  <c r="S57" i="6"/>
  <c r="R57" i="6"/>
  <c r="Q57" i="6"/>
  <c r="P57" i="6"/>
  <c r="O57" i="6"/>
  <c r="S56" i="6"/>
  <c r="Q56" i="6"/>
  <c r="O56" i="6"/>
  <c r="T52" i="6"/>
  <c r="S52" i="6"/>
  <c r="R52" i="6"/>
  <c r="Q52" i="6"/>
  <c r="P52" i="6"/>
  <c r="P50" i="6"/>
  <c r="O50" i="6"/>
  <c r="T50" i="6"/>
  <c r="S50" i="6"/>
  <c r="R50" i="6"/>
  <c r="Q50" i="6"/>
  <c r="T49" i="6"/>
  <c r="S49" i="6"/>
  <c r="R49" i="6"/>
  <c r="Q49" i="6"/>
  <c r="P49" i="6"/>
  <c r="O49" i="6"/>
  <c r="T48" i="6"/>
  <c r="S48" i="6"/>
  <c r="R48" i="6"/>
  <c r="Q48" i="6"/>
  <c r="P48" i="6"/>
  <c r="O48" i="6"/>
  <c r="Q47" i="6"/>
  <c r="O47" i="6"/>
  <c r="S43" i="6"/>
  <c r="S41" i="6"/>
  <c r="S40" i="6"/>
  <c r="S39" i="6"/>
  <c r="T43" i="6"/>
  <c r="T41" i="6"/>
  <c r="T40" i="6"/>
  <c r="T39" i="6"/>
  <c r="T38" i="6"/>
  <c r="T34" i="6"/>
  <c r="S34" i="6"/>
  <c r="T31" i="6"/>
  <c r="S31" i="6"/>
  <c r="T32" i="6"/>
  <c r="S32" i="6"/>
  <c r="T30" i="6"/>
  <c r="S30" i="6"/>
  <c r="T29" i="6"/>
  <c r="S29" i="6"/>
  <c r="P29" i="6"/>
  <c r="T25" i="6"/>
  <c r="S25" i="6"/>
  <c r="R25" i="6"/>
  <c r="Q25" i="6"/>
  <c r="P25" i="6"/>
  <c r="T23" i="6"/>
  <c r="S23" i="6"/>
  <c r="R23" i="6"/>
  <c r="Q23" i="6"/>
  <c r="P23" i="6"/>
  <c r="O23" i="6"/>
  <c r="T22" i="6"/>
  <c r="S22" i="6"/>
  <c r="R22" i="6"/>
  <c r="Q22" i="6"/>
  <c r="P22" i="6"/>
  <c r="O22" i="6"/>
  <c r="T21" i="6"/>
  <c r="S21" i="6"/>
  <c r="R21" i="6"/>
  <c r="Q21" i="6"/>
  <c r="P21" i="6"/>
  <c r="O21" i="6"/>
  <c r="T20" i="6"/>
  <c r="S20" i="6"/>
  <c r="R20" i="6"/>
  <c r="Q20" i="6"/>
  <c r="P20" i="6"/>
  <c r="O20" i="6"/>
  <c r="T16" i="6"/>
  <c r="S16" i="6"/>
  <c r="R16" i="6"/>
  <c r="Q16" i="6"/>
  <c r="P16" i="6"/>
  <c r="T13" i="6"/>
  <c r="S13" i="6"/>
  <c r="R13" i="6"/>
  <c r="Q13" i="6"/>
  <c r="P13" i="6"/>
  <c r="O13" i="6"/>
  <c r="T14" i="6"/>
  <c r="S14" i="6"/>
  <c r="R14" i="6"/>
  <c r="Q14" i="6"/>
  <c r="P14" i="6"/>
  <c r="O14" i="6"/>
  <c r="T12" i="6"/>
  <c r="S12" i="6"/>
  <c r="R12" i="6"/>
  <c r="Q12" i="6"/>
  <c r="P12" i="6"/>
  <c r="O12" i="6"/>
  <c r="T11" i="6"/>
  <c r="S11" i="6"/>
  <c r="R11" i="6"/>
  <c r="Q11" i="6"/>
  <c r="P11" i="6"/>
  <c r="O11" i="6"/>
  <c r="T7" i="6"/>
  <c r="S7" i="6"/>
  <c r="R7" i="6"/>
  <c r="Q7" i="6"/>
  <c r="P7" i="6"/>
  <c r="O7" i="6"/>
  <c r="N7" i="6"/>
  <c r="M7" i="6"/>
  <c r="L7" i="6"/>
  <c r="K7" i="6"/>
  <c r="J7" i="6"/>
  <c r="I7" i="6"/>
  <c r="H7" i="6"/>
  <c r="T4" i="6"/>
  <c r="S4" i="6"/>
  <c r="R4" i="6"/>
  <c r="Q4" i="6"/>
  <c r="P4" i="6"/>
  <c r="T3" i="6"/>
  <c r="S3" i="6"/>
  <c r="R3" i="6"/>
  <c r="Q3" i="6"/>
  <c r="P3" i="6"/>
  <c r="O3" i="6"/>
  <c r="N3" i="6"/>
  <c r="M3" i="6"/>
  <c r="T2" i="6"/>
  <c r="S2" i="6"/>
  <c r="R2" i="6"/>
  <c r="Q2" i="6"/>
  <c r="P2" i="6"/>
  <c r="O2" i="6"/>
  <c r="N2" i="6"/>
  <c r="M2" i="6"/>
  <c r="L3" i="6"/>
  <c r="L2" i="6"/>
  <c r="K3" i="6"/>
  <c r="K2" i="6"/>
  <c r="J3" i="6"/>
  <c r="J2" i="6"/>
  <c r="I3" i="6"/>
  <c r="I2" i="6"/>
  <c r="T5" i="6"/>
  <c r="S5" i="6"/>
  <c r="R5" i="6"/>
  <c r="Q5" i="6"/>
  <c r="P5" i="6"/>
  <c r="O5" i="6"/>
  <c r="O4" i="6"/>
  <c r="N4" i="6"/>
  <c r="M4" i="6"/>
  <c r="L4" i="6"/>
  <c r="K4" i="6"/>
  <c r="J4" i="6"/>
  <c r="I4" i="6"/>
  <c r="H4" i="6"/>
  <c r="H3" i="6"/>
  <c r="H2" i="6"/>
  <c r="C3" i="8"/>
  <c r="C2" i="8"/>
  <c r="C7" i="4"/>
  <c r="A2" i="3"/>
  <c r="E2" i="3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A3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A14" i="7"/>
  <c r="A13" i="7"/>
  <c r="A12" i="7"/>
  <c r="A11" i="7"/>
  <c r="C8" i="7"/>
  <c r="A8" i="7"/>
  <c r="C7" i="7"/>
  <c r="A7" i="7"/>
  <c r="C6" i="7"/>
  <c r="A6" i="7"/>
  <c r="A5" i="7"/>
  <c r="A4" i="7"/>
  <c r="A3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Gerard J Abou Jaoude</author>
  </authors>
  <commentList>
    <comment ref="S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Please note that despite using the 'low' values the prisoner disaggregations do not add up to the 'totals'</t>
        </r>
      </text>
    </comment>
    <comment ref="T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Gerard J Abou Jaoude:
Please note that despite using the 'low' values the prisoner disaggregations do not add up to the 'totals</t>
        </r>
      </text>
    </comment>
  </commentList>
</comments>
</file>

<file path=xl/comments2.xml><?xml version="1.0" encoding="utf-8"?>
<comments xmlns="http://schemas.openxmlformats.org/spreadsheetml/2006/main">
  <authors>
    <author>Gerard J Abou Jaoude</author>
  </authors>
  <commentList>
    <comment ref="S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Please note that despite using the 'low' values the prisoner disaggregations do not add up to the 'totals'</t>
        </r>
      </text>
    </comment>
    <comment ref="T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Gerard J Abou Jaoude:
Please note that despite using the 'low' values the prisoner disaggregations do not add up to the 'totals</t>
        </r>
      </text>
    </comment>
  </commentList>
</comments>
</file>

<file path=xl/comments3.xml><?xml version="1.0" encoding="utf-8"?>
<comments xmlns="http://schemas.openxmlformats.org/spreadsheetml/2006/main">
  <authors>
    <author>hospitalis</author>
    <author>Admin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hospitalis:</t>
        </r>
        <r>
          <rPr>
            <sz val="9"/>
            <color indexed="81"/>
            <rFont val="Tahoma"/>
            <family val="2"/>
          </rPr>
          <t xml:space="preserve">
15-64 and 65+ together
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hospitalis:</t>
        </r>
        <r>
          <rPr>
            <sz val="9"/>
            <color indexed="81"/>
            <rFont val="Tahoma"/>
            <family val="2"/>
          </rPr>
          <t xml:space="preserve">
15-64 and 65+ together
</t>
        </r>
      </text>
    </comment>
    <comment ref="T3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Year is no complete</t>
        </r>
      </text>
    </comment>
  </commentList>
</comments>
</file>

<file path=xl/sharedStrings.xml><?xml version="1.0" encoding="utf-8"?>
<sst xmlns="http://schemas.openxmlformats.org/spreadsheetml/2006/main" count="2220" uniqueCount="149">
  <si>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</si>
  <si>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</si>
  <si>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</si>
  <si>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</si>
  <si>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</si>
  <si>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</si>
  <si>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</si>
  <si>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</si>
  <si>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</si>
  <si>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</si>
  <si>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</si>
  <si>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</si>
  <si>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</si>
  <si>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</si>
  <si>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</si>
  <si>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</si>
  <si>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</si>
  <si>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</si>
  <si>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</si>
  <si>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</si>
  <si>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</si>
  <si>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</si>
  <si>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</si>
  <si>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</si>
  <si>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</si>
  <si>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</si>
  <si>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</si>
  <si>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</si>
  <si>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</si>
  <si>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</si>
  <si>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</si>
  <si>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</si>
  <si>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</si>
  <si>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</si>
  <si>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</si>
  <si>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</si>
  <si>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</si>
  <si>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</si>
  <si>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</si>
  <si>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</si>
  <si>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</si>
  <si>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</si>
  <si>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</si>
  <si>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</si>
  <si>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</si>
  <si>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</si>
  <si>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</si>
  <si>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</si>
  <si>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</si>
  <si>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SN DS New cases</t>
  </si>
  <si>
    <t>SN MDR Infectious Count</t>
  </si>
  <si>
    <t>SN MDR Infectious Prevalence</t>
  </si>
  <si>
    <t>SN MDR New cases</t>
  </si>
  <si>
    <t>SN XDR Infectious Count</t>
  </si>
  <si>
    <t>SN XDR Infectious Prevalence</t>
  </si>
  <si>
    <t>SN XDR New cases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</si>
  <si>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</si>
  <si>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</si>
  <si>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</si>
  <si>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</si>
  <si>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</si>
  <si>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</si>
  <si>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</si>
  <si>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</si>
  <si>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</si>
  <si>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</si>
  <si>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</si>
  <si>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</si>
  <si>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</si>
  <si>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</si>
  <si>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</si>
  <si>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</si>
  <si>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</si>
  <si>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</si>
  <si>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</si>
  <si>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</si>
  <si>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</si>
  <si>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</si>
  <si>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</si>
  <si>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</si>
  <si>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</si>
  <si>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</si>
  <si>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</si>
  <si>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</si>
  <si>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</si>
  <si>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</si>
  <si>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</si>
  <si>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</si>
  <si>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</si>
  <si>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</si>
  <si>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</si>
  <si>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</si>
  <si>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</si>
  <si>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</si>
  <si>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</si>
  <si>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</si>
  <si>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</si>
  <si>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</si>
  <si>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</si>
  <si>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</si>
  <si>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</si>
  <si>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</si>
  <si>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</si>
  <si>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</si>
  <si>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</si>
  <si>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</si>
  <si>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</si>
  <si>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</si>
  <si>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</si>
  <si>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</si>
  <si>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</si>
  <si>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</si>
  <si>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</si>
  <si>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</si>
  <si>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</si>
  <si>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</si>
  <si>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</si>
  <si>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</si>
  <si>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</si>
  <si>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</si>
  <si>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</si>
  <si>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</si>
  <si>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</si>
  <si>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</si>
  <si>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</si>
  <si>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</si>
  <si>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</si>
  <si>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</si>
  <si>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</si>
  <si>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</si>
  <si>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</si>
  <si>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</si>
  <si>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</si>
  <si>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</si>
  <si>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</si>
  <si>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</si>
  <si>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</si>
  <si>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</si>
  <si>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</si>
  <si>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</si>
  <si>
    <t>Percentage of SP XDR TB-related deaths</t>
  </si>
  <si>
    <t>Percentage of SP MDR TB-related deaths</t>
  </si>
  <si>
    <t>Percentage of SP DS-TB related deaths</t>
  </si>
  <si>
    <t>Percentage of SN XDR TB-related deaths</t>
  </si>
  <si>
    <t>Percentage of SN MDR TB-related deaths</t>
  </si>
  <si>
    <t>Percentage of SN DS-TB related deaths</t>
  </si>
  <si>
    <t>HIV 15-64</t>
  </si>
  <si>
    <t>N.A.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</si>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</sst>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7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8" fillId="0" borderId="0" xfId="0" applyFont="1"/>
    <xf numFmtId="12" fontId="0" fillId="0" borderId="0" xfId="0" applyNumberFormat="1"/>
    <xf numFmtId="0" fontId="8" fillId="0" borderId="0" xfId="0" applyNumberFormat="1" applyFont="1"/>
  </cellXfs>
  <cellStyles count="38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Input 2" xfId="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127</v>
      </c>
      <c r="B2" t="s">
        <v>128</v>
      </c>
      <c r="C2">
        <v>0</v>
      </c>
      <c r="D2">
        <v>4</v>
      </c>
    </row>
    <row r="3" spans="1:4">
      <c r="A3" t="s">
        <v>129</v>
      </c>
      <c r="B3" s="1" t="s">
        <v>133</v>
      </c>
      <c r="C3">
        <v>5</v>
      </c>
      <c r="D3">
        <v>14</v>
      </c>
    </row>
    <row r="4" spans="1:4">
      <c r="A4" t="s">
        <v>130</v>
      </c>
      <c r="B4" s="2" t="s">
        <v>135</v>
      </c>
      <c r="C4">
        <v>15</v>
      </c>
      <c r="D4">
        <v>64</v>
      </c>
    </row>
    <row r="5" spans="1:4">
      <c r="A5" t="s">
        <v>131</v>
      </c>
      <c r="B5" s="2" t="s">
        <v>134</v>
      </c>
      <c r="C5">
        <v>65</v>
      </c>
      <c r="D5">
        <v>99</v>
      </c>
    </row>
    <row r="6" spans="1:4">
      <c r="A6" t="s">
        <v>146</v>
      </c>
      <c r="B6" t="s">
        <v>146</v>
      </c>
      <c r="C6">
        <v>15</v>
      </c>
      <c r="D6">
        <v>64</v>
      </c>
    </row>
    <row r="7" spans="1:4">
      <c r="A7" t="s">
        <v>132</v>
      </c>
      <c r="B7" t="s">
        <v>136</v>
      </c>
      <c r="C7">
        <v>15</v>
      </c>
      <c r="D7">
        <v>99</v>
      </c>
    </row>
    <row r="8" spans="1:4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15-64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15-64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15-64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>
      <c r="A33" t="str">
        <f>'Population Definitions'!$A$6</f>
        <v>HIV 15-64</v>
      </c>
      <c r="B33" t="s">
        <v>10</v>
      </c>
      <c r="C33">
        <f t="shared" si="3"/>
        <v>0.74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>
      <c r="A42" t="str">
        <f>'Population Definitions'!$A$6</f>
        <v>HIV 15-64</v>
      </c>
      <c r="B42" t="s">
        <v>10</v>
      </c>
      <c r="C42">
        <f t="shared" si="4"/>
        <v>0.44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>
      <c r="A51" t="str">
        <f>'Population Definitions'!$A$6</f>
        <v>HIV 15-64</v>
      </c>
      <c r="B51" t="s">
        <v>10</v>
      </c>
      <c r="C51">
        <f t="shared" si="5"/>
        <v>0.56000000000000005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>
      <c r="A55" t="s">
        <v>60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>
      <c r="A60" t="str">
        <f>'Population Definitions'!$A$6</f>
        <v>HIV 15-64</v>
      </c>
      <c r="B60" t="s">
        <v>10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5"/>
  <sheetViews>
    <sheetView topLeftCell="A13" workbookViewId="0">
      <selection activeCell="L30" sqref="L3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82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>
      <c r="A6" t="str">
        <f>'Population Definitions'!$A$6</f>
        <v>HIV 15-64</v>
      </c>
      <c r="B6" t="s">
        <v>10</v>
      </c>
      <c r="C6">
        <f t="shared" si="0"/>
        <v>0.9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>
      <c r="A10" t="s">
        <v>83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v>0.2</v>
      </c>
      <c r="D11" t="s">
        <v>12</v>
      </c>
      <c r="N11">
        <v>8</v>
      </c>
      <c r="O11">
        <v>6</v>
      </c>
      <c r="P11">
        <v>3</v>
      </c>
      <c r="Q11">
        <v>2</v>
      </c>
      <c r="R11">
        <v>2</v>
      </c>
      <c r="S11">
        <v>4</v>
      </c>
      <c r="T11">
        <v>1</v>
      </c>
    </row>
    <row r="12" spans="1:20">
      <c r="A12" t="str">
        <f>'Population Definitions'!$A$3</f>
        <v>Gen 5-14</v>
      </c>
      <c r="B12" t="s">
        <v>10</v>
      </c>
      <c r="C12">
        <v>0.2</v>
      </c>
      <c r="D12" t="s">
        <v>12</v>
      </c>
      <c r="N12">
        <v>19</v>
      </c>
      <c r="O12">
        <v>17</v>
      </c>
      <c r="P12">
        <v>12</v>
      </c>
      <c r="Q12">
        <v>13</v>
      </c>
      <c r="R12">
        <v>10</v>
      </c>
      <c r="S12">
        <v>11</v>
      </c>
      <c r="T12">
        <v>5</v>
      </c>
    </row>
    <row r="13" spans="1:20">
      <c r="A13" t="str">
        <f>'Population Definitions'!$A$4</f>
        <v>Gen 15-64</v>
      </c>
      <c r="B13" t="s">
        <v>10</v>
      </c>
      <c r="C13">
        <v>0.5</v>
      </c>
      <c r="D13" t="s">
        <v>12</v>
      </c>
      <c r="N13">
        <v>4683</v>
      </c>
      <c r="O13">
        <v>4033</v>
      </c>
      <c r="P13">
        <v>3411</v>
      </c>
      <c r="Q13">
        <v>3163</v>
      </c>
      <c r="R13">
        <v>2811</v>
      </c>
      <c r="S13">
        <v>2555</v>
      </c>
      <c r="T13">
        <v>2363</v>
      </c>
    </row>
    <row r="14" spans="1:20">
      <c r="A14" t="str">
        <f>'Population Definitions'!$A$5</f>
        <v>Gen 65+</v>
      </c>
      <c r="B14" t="s">
        <v>10</v>
      </c>
      <c r="C14">
        <v>0.91</v>
      </c>
      <c r="D14" t="s">
        <v>12</v>
      </c>
      <c r="N14" t="s">
        <v>148</v>
      </c>
      <c r="O14">
        <v>505</v>
      </c>
      <c r="P14">
        <v>407</v>
      </c>
      <c r="Q14">
        <v>419</v>
      </c>
      <c r="R14">
        <v>433</v>
      </c>
      <c r="S14">
        <v>389</v>
      </c>
      <c r="T14">
        <v>424</v>
      </c>
    </row>
    <row r="15" spans="1:20">
      <c r="A15" t="str">
        <f>'Population Definitions'!$A$6</f>
        <v>HIV 15-64</v>
      </c>
      <c r="B15" t="s">
        <v>10</v>
      </c>
      <c r="C15">
        <v>0.91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>
      <c r="A19" t="s">
        <v>84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>
      <c r="A24" t="str">
        <f>'Population Definitions'!$A$6</f>
        <v>HIV 15-64</v>
      </c>
      <c r="B24" t="s">
        <v>10</v>
      </c>
      <c r="C24">
        <f t="shared" si="1"/>
        <v>7.0000000000000007E-2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>
      <c r="A28" t="s">
        <v>85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 t="str">
        <f t="shared" ref="C29:C35" si="2">IF(SUMPRODUCT(--(E29:T29&lt;&gt;""))=0,0.85,"N.A.")</f>
        <v>N.A.</v>
      </c>
      <c r="D29" t="s">
        <v>12</v>
      </c>
      <c r="N29">
        <v>8</v>
      </c>
      <c r="O29">
        <v>6</v>
      </c>
      <c r="P29">
        <v>3</v>
      </c>
      <c r="Q29">
        <v>2</v>
      </c>
      <c r="R29">
        <v>2</v>
      </c>
      <c r="S29">
        <v>4</v>
      </c>
      <c r="T29">
        <v>1</v>
      </c>
    </row>
    <row r="30" spans="1:20">
      <c r="A30" t="str">
        <f>'Population Definitions'!$A$3</f>
        <v>Gen 5-14</v>
      </c>
      <c r="B30" t="s">
        <v>10</v>
      </c>
      <c r="C30" t="str">
        <f t="shared" si="2"/>
        <v>N.A.</v>
      </c>
      <c r="D30" t="s">
        <v>12</v>
      </c>
      <c r="N30">
        <v>16</v>
      </c>
      <c r="O30">
        <v>15</v>
      </c>
      <c r="P30">
        <v>11</v>
      </c>
      <c r="Q30">
        <v>9</v>
      </c>
      <c r="R30">
        <v>9</v>
      </c>
      <c r="S30">
        <v>10</v>
      </c>
      <c r="T30">
        <v>3</v>
      </c>
    </row>
    <row r="31" spans="1:20">
      <c r="A31" t="str">
        <f>'Population Definitions'!$A$4</f>
        <v>Gen 15-64</v>
      </c>
      <c r="B31" t="s">
        <v>10</v>
      </c>
      <c r="C31" t="str">
        <f t="shared" si="2"/>
        <v>N.A.</v>
      </c>
      <c r="D31" t="s">
        <v>12</v>
      </c>
      <c r="N31">
        <v>3842</v>
      </c>
      <c r="O31">
        <v>3266</v>
      </c>
      <c r="P31">
        <v>2847</v>
      </c>
      <c r="Q31">
        <v>2696</v>
      </c>
      <c r="R31">
        <v>2424</v>
      </c>
      <c r="S31">
        <v>2208</v>
      </c>
      <c r="T31">
        <v>1231</v>
      </c>
    </row>
    <row r="32" spans="1:20">
      <c r="A32" t="str">
        <f>'Population Definitions'!$A$5</f>
        <v>Gen 65+</v>
      </c>
      <c r="B32" t="s">
        <v>10</v>
      </c>
      <c r="C32" t="str">
        <f t="shared" si="2"/>
        <v>N.A.</v>
      </c>
      <c r="D32" t="s">
        <v>12</v>
      </c>
      <c r="O32">
        <v>420</v>
      </c>
      <c r="P32">
        <v>338</v>
      </c>
      <c r="Q32">
        <v>340</v>
      </c>
      <c r="R32">
        <v>368</v>
      </c>
      <c r="S32">
        <v>318</v>
      </c>
      <c r="T32">
        <v>336</v>
      </c>
    </row>
    <row r="33" spans="1:20">
      <c r="A33" t="str">
        <f>'Population Definitions'!$A$6</f>
        <v>HIV 15-64</v>
      </c>
      <c r="B33" t="s">
        <v>10</v>
      </c>
      <c r="C33">
        <f t="shared" si="2"/>
        <v>0.85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>
      <c r="A42" t="str">
        <f>'Population Definitions'!$A$6</f>
        <v>HIV 15-64</v>
      </c>
      <c r="B42" t="s">
        <v>10</v>
      </c>
      <c r="C42">
        <f t="shared" si="3"/>
        <v>0.9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>
      <c r="A46" t="s">
        <v>88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 t="str">
        <f t="shared" ref="C47:C53" si="4">IF(SUMPRODUCT(--(E47:T47&lt;&gt;""))=0,0.91,"N.A.")</f>
        <v>N.A.</v>
      </c>
      <c r="D47" t="s">
        <v>12</v>
      </c>
      <c r="Q47">
        <v>2</v>
      </c>
      <c r="R47">
        <v>1</v>
      </c>
      <c r="S47">
        <v>0</v>
      </c>
      <c r="T47">
        <v>1</v>
      </c>
    </row>
    <row r="48" spans="1:20">
      <c r="A48" t="str">
        <f>'Population Definitions'!$A$3</f>
        <v>Gen 5-14</v>
      </c>
      <c r="B48" t="s">
        <v>10</v>
      </c>
      <c r="C48" t="str">
        <f t="shared" si="4"/>
        <v>N.A.</v>
      </c>
      <c r="D48" t="s">
        <v>12</v>
      </c>
      <c r="Q48">
        <v>3</v>
      </c>
      <c r="R48">
        <v>1</v>
      </c>
      <c r="S48">
        <v>0</v>
      </c>
      <c r="T48">
        <v>0</v>
      </c>
    </row>
    <row r="49" spans="1:20">
      <c r="A49" t="str">
        <f>'Population Definitions'!$A$4</f>
        <v>Gen 15-64</v>
      </c>
      <c r="B49" t="s">
        <v>10</v>
      </c>
      <c r="C49" t="str">
        <f t="shared" si="4"/>
        <v>N.A.</v>
      </c>
      <c r="D49" t="s">
        <v>12</v>
      </c>
      <c r="Q49">
        <v>2437</v>
      </c>
      <c r="R49">
        <v>2107</v>
      </c>
      <c r="S49">
        <v>1486</v>
      </c>
      <c r="T49">
        <v>1343</v>
      </c>
    </row>
    <row r="50" spans="1:20">
      <c r="A50" t="str">
        <f>'Population Definitions'!$A$5</f>
        <v>Gen 65+</v>
      </c>
      <c r="B50" t="s">
        <v>10</v>
      </c>
      <c r="C50" t="str">
        <f t="shared" si="4"/>
        <v>N.A.</v>
      </c>
      <c r="D50" t="s">
        <v>12</v>
      </c>
      <c r="Q50">
        <v>86</v>
      </c>
      <c r="R50">
        <v>97</v>
      </c>
      <c r="S50">
        <v>50</v>
      </c>
      <c r="T50">
        <v>88</v>
      </c>
    </row>
    <row r="51" spans="1:20">
      <c r="A51" t="str">
        <f>'Population Definitions'!$A$6</f>
        <v>HIV 15-64</v>
      </c>
      <c r="B51" t="s">
        <v>10</v>
      </c>
      <c r="C51">
        <f t="shared" si="4"/>
        <v>0.91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>
      <c r="A55" t="s">
        <v>89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>
      <c r="A60" t="str">
        <f>'Population Definitions'!$A$6</f>
        <v>HIV 15-64</v>
      </c>
      <c r="B60" t="s">
        <v>10</v>
      </c>
      <c r="C60">
        <f t="shared" si="5"/>
        <v>0.34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>
      <c r="A64" t="s">
        <v>90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 t="str">
        <f t="shared" ref="C65:C71" si="6">IF(SUMPRODUCT(--(E65:T65&lt;&gt;""))=0,0.5,"N.A.")</f>
        <v>N.A.</v>
      </c>
      <c r="D65" t="s">
        <v>12</v>
      </c>
      <c r="Q65">
        <v>2</v>
      </c>
      <c r="R65">
        <v>1</v>
      </c>
      <c r="S65">
        <v>0</v>
      </c>
    </row>
    <row r="66" spans="1:20">
      <c r="A66" t="str">
        <f>'Population Definitions'!$A$3</f>
        <v>Gen 5-14</v>
      </c>
      <c r="B66" t="s">
        <v>10</v>
      </c>
      <c r="C66" t="str">
        <f t="shared" si="6"/>
        <v>N.A.</v>
      </c>
      <c r="D66" t="s">
        <v>12</v>
      </c>
      <c r="Q66">
        <v>3</v>
      </c>
      <c r="R66">
        <v>1</v>
      </c>
      <c r="S66">
        <v>0</v>
      </c>
    </row>
    <row r="67" spans="1:20">
      <c r="A67" t="str">
        <f>'Population Definitions'!$A$4</f>
        <v>Gen 15-64</v>
      </c>
      <c r="B67" t="s">
        <v>10</v>
      </c>
      <c r="C67" t="str">
        <f t="shared" si="6"/>
        <v>N.A.</v>
      </c>
      <c r="D67" t="s">
        <v>12</v>
      </c>
      <c r="Q67">
        <v>1103.9459183673468</v>
      </c>
      <c r="R67">
        <v>1182.0456349206349</v>
      </c>
      <c r="S67">
        <v>937.7010676156583</v>
      </c>
    </row>
    <row r="68" spans="1:20">
      <c r="A68" t="str">
        <f>'Population Definitions'!$A$5</f>
        <v>Gen 65+</v>
      </c>
      <c r="B68" t="s">
        <v>10</v>
      </c>
      <c r="C68" t="str">
        <f t="shared" si="6"/>
        <v>N.A.</v>
      </c>
      <c r="D68" t="s">
        <v>12</v>
      </c>
      <c r="Q68">
        <v>52</v>
      </c>
      <c r="R68">
        <v>26</v>
      </c>
      <c r="S68">
        <v>10</v>
      </c>
    </row>
    <row r="69" spans="1:20">
      <c r="A69" t="str">
        <f>'Population Definitions'!$A$6</f>
        <v>HIV 15-64</v>
      </c>
      <c r="B69" t="s">
        <v>10</v>
      </c>
      <c r="C69">
        <f t="shared" si="6"/>
        <v>0.5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>
      <c r="A73" t="s">
        <v>92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>
      <c r="A78" t="str">
        <f>'Population Definitions'!$A$6</f>
        <v>HIV 15-64</v>
      </c>
      <c r="B78" t="s">
        <v>10</v>
      </c>
      <c r="C78">
        <f t="shared" si="7"/>
        <v>0.9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>
      <c r="A82" t="s">
        <v>93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 t="str">
        <f t="shared" ref="C83:C89" si="8">IF(SUMPRODUCT(--(E83:T83&lt;&gt;""))=0,0.91,"N.A.")</f>
        <v>N.A.</v>
      </c>
      <c r="D83" t="s">
        <v>12</v>
      </c>
      <c r="R83">
        <v>0</v>
      </c>
      <c r="S83">
        <v>0</v>
      </c>
      <c r="T83">
        <v>1</v>
      </c>
    </row>
    <row r="84" spans="1:20">
      <c r="A84" t="str">
        <f>'Population Definitions'!$A$3</f>
        <v>Gen 5-14</v>
      </c>
      <c r="B84" t="s">
        <v>10</v>
      </c>
      <c r="C84" t="str">
        <f t="shared" si="8"/>
        <v>N.A.</v>
      </c>
      <c r="D84" t="s">
        <v>12</v>
      </c>
      <c r="R84">
        <v>0</v>
      </c>
      <c r="S84">
        <v>1</v>
      </c>
      <c r="T84">
        <v>4</v>
      </c>
    </row>
    <row r="85" spans="1:20">
      <c r="A85" t="str">
        <f>'Population Definitions'!$A$4</f>
        <v>Gen 15-64</v>
      </c>
      <c r="B85" t="s">
        <v>10</v>
      </c>
      <c r="C85" t="str">
        <f t="shared" si="8"/>
        <v>N.A.</v>
      </c>
      <c r="D85" t="s">
        <v>12</v>
      </c>
      <c r="R85">
        <v>137</v>
      </c>
      <c r="S85">
        <v>428</v>
      </c>
      <c r="T85">
        <v>497</v>
      </c>
    </row>
    <row r="86" spans="1:20">
      <c r="A86" t="str">
        <f>'Population Definitions'!$A$5</f>
        <v>Gen 65+</v>
      </c>
      <c r="B86" t="s">
        <v>10</v>
      </c>
      <c r="C86" t="str">
        <f t="shared" si="8"/>
        <v>N.A.</v>
      </c>
      <c r="D86" t="s">
        <v>12</v>
      </c>
      <c r="R86">
        <v>4</v>
      </c>
      <c r="S86">
        <v>21</v>
      </c>
      <c r="T86">
        <v>14</v>
      </c>
    </row>
    <row r="87" spans="1:20">
      <c r="A87" t="str">
        <f>'Population Definitions'!$A$6</f>
        <v>HIV 15-64</v>
      </c>
      <c r="B87" t="s">
        <v>10</v>
      </c>
      <c r="C87">
        <f t="shared" si="8"/>
        <v>0.91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>
      <c r="A91" t="s">
        <v>94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>
      <c r="A96" t="str">
        <f>'Population Definitions'!$A$6</f>
        <v>HIV 15-64</v>
      </c>
      <c r="B96" t="s">
        <v>10</v>
      </c>
      <c r="C96">
        <f t="shared" si="9"/>
        <v>0.34</v>
      </c>
      <c r="D96" t="s">
        <v>12</v>
      </c>
    </row>
    <row r="97" spans="1:20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>
      <c r="A100" t="s">
        <v>95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10</v>
      </c>
      <c r="C101" t="str">
        <f t="shared" ref="C101:C107" si="10">IF(SUMPRODUCT(--(E101:T101&lt;&gt;""))=0,0.5,"N.A.")</f>
        <v>N.A.</v>
      </c>
      <c r="D101" t="s">
        <v>12</v>
      </c>
      <c r="R101">
        <v>0</v>
      </c>
      <c r="S101">
        <v>0</v>
      </c>
    </row>
    <row r="102" spans="1:20">
      <c r="A102" t="str">
        <f>'Population Definitions'!$A$3</f>
        <v>Gen 5-14</v>
      </c>
      <c r="B102" t="s">
        <v>10</v>
      </c>
      <c r="C102" t="str">
        <f t="shared" si="10"/>
        <v>N.A.</v>
      </c>
      <c r="D102" t="s">
        <v>12</v>
      </c>
      <c r="R102">
        <v>0</v>
      </c>
      <c r="S102">
        <v>1</v>
      </c>
    </row>
    <row r="103" spans="1:20">
      <c r="A103" t="str">
        <f>'Population Definitions'!$A$4</f>
        <v>Gen 15-64</v>
      </c>
      <c r="B103" t="s">
        <v>10</v>
      </c>
      <c r="C103" t="str">
        <f t="shared" si="10"/>
        <v>N.A.</v>
      </c>
      <c r="D103" t="s">
        <v>12</v>
      </c>
      <c r="R103">
        <v>47</v>
      </c>
      <c r="S103">
        <v>117</v>
      </c>
    </row>
    <row r="104" spans="1:20">
      <c r="A104" t="str">
        <f>'Population Definitions'!$A$5</f>
        <v>Gen 65+</v>
      </c>
      <c r="B104" t="s">
        <v>10</v>
      </c>
      <c r="C104" t="str">
        <f t="shared" si="10"/>
        <v>N.A.</v>
      </c>
      <c r="D104" t="s">
        <v>12</v>
      </c>
      <c r="R104">
        <v>9</v>
      </c>
      <c r="S104">
        <v>1</v>
      </c>
    </row>
    <row r="105" spans="1:20">
      <c r="A105" t="str">
        <f>'Population Definitions'!$A$6</f>
        <v>HIV 15-64</v>
      </c>
      <c r="B105" t="s">
        <v>10</v>
      </c>
      <c r="C105">
        <f t="shared" si="10"/>
        <v>0.5</v>
      </c>
      <c r="D105" t="s">
        <v>12</v>
      </c>
    </row>
    <row r="106" spans="1:20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>
      <c r="A109" t="s">
        <v>103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>
      <c r="A114" t="str">
        <f>'Population Definitions'!$A$6</f>
        <v>HIV 15-64</v>
      </c>
      <c r="B114" t="s">
        <v>10</v>
      </c>
      <c r="C114">
        <f t="shared" si="11"/>
        <v>0.9</v>
      </c>
      <c r="D114" t="s">
        <v>12</v>
      </c>
    </row>
    <row r="115" spans="1:20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>
      <c r="A118" t="s">
        <v>104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>
      <c r="A123" t="str">
        <f>'Population Definitions'!$A$6</f>
        <v>HIV 15-64</v>
      </c>
      <c r="B123" t="s">
        <v>10</v>
      </c>
      <c r="C123">
        <f t="shared" si="12"/>
        <v>0.91</v>
      </c>
      <c r="D123" t="s">
        <v>12</v>
      </c>
    </row>
    <row r="124" spans="1:20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>
      <c r="A127" t="s">
        <v>105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>
      <c r="A132" t="str">
        <f>'Population Definitions'!$A$6</f>
        <v>HIV 15-64</v>
      </c>
      <c r="B132" t="s">
        <v>10</v>
      </c>
      <c r="C132">
        <f t="shared" si="13"/>
        <v>7.0000000000000007E-2</v>
      </c>
      <c r="D132" t="s">
        <v>12</v>
      </c>
    </row>
    <row r="133" spans="1:20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>
      <c r="A136" t="s">
        <v>106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>
      <c r="A141" t="str">
        <f>'Population Definitions'!$A$6</f>
        <v>HIV 15-64</v>
      </c>
      <c r="B141" t="s">
        <v>10</v>
      </c>
      <c r="C141">
        <f t="shared" si="14"/>
        <v>0.85</v>
      </c>
      <c r="D141" t="s">
        <v>12</v>
      </c>
    </row>
    <row r="142" spans="1:20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>
      <c r="A145" t="s">
        <v>108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>
      <c r="A150" t="str">
        <f>'Population Definitions'!$A$6</f>
        <v>HIV 15-64</v>
      </c>
      <c r="B150" t="s">
        <v>10</v>
      </c>
      <c r="C150">
        <f t="shared" si="15"/>
        <v>0.9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>
      <c r="A154" t="s">
        <v>109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>
      <c r="A159" t="str">
        <f>'Population Definitions'!$A$6</f>
        <v>HIV 15-64</v>
      </c>
      <c r="B159" t="s">
        <v>10</v>
      </c>
      <c r="C159">
        <f t="shared" si="16"/>
        <v>0.91</v>
      </c>
      <c r="D159" t="s">
        <v>12</v>
      </c>
    </row>
    <row r="160" spans="1:20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>
      <c r="A163" t="s">
        <v>110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>
      <c r="A168" t="str">
        <f>'Population Definitions'!$A$6</f>
        <v>HIV 15-64</v>
      </c>
      <c r="B168" t="s">
        <v>10</v>
      </c>
      <c r="C168">
        <f t="shared" si="17"/>
        <v>0.34</v>
      </c>
      <c r="D168" t="s">
        <v>12</v>
      </c>
    </row>
    <row r="169" spans="1:20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>
      <c r="A172" t="s">
        <v>111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>
      <c r="A177" t="str">
        <f>'Population Definitions'!$A$6</f>
        <v>HIV 15-64</v>
      </c>
      <c r="B177" t="s">
        <v>10</v>
      </c>
      <c r="C177">
        <f t="shared" si="18"/>
        <v>0.5</v>
      </c>
      <c r="D177" t="s">
        <v>12</v>
      </c>
    </row>
    <row r="178" spans="1:20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>
      <c r="A181" t="s">
        <v>113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>
      <c r="A186" t="str">
        <f>'Population Definitions'!$A$6</f>
        <v>HIV 15-64</v>
      </c>
      <c r="B186" t="s">
        <v>10</v>
      </c>
      <c r="C186">
        <f t="shared" si="19"/>
        <v>0.9</v>
      </c>
      <c r="D186" t="s">
        <v>12</v>
      </c>
    </row>
    <row r="187" spans="1:20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>
      <c r="A190" t="s">
        <v>114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>
      <c r="A195" t="str">
        <f>'Population Definitions'!$A$6</f>
        <v>HIV 15-64</v>
      </c>
      <c r="B195" t="s">
        <v>10</v>
      </c>
      <c r="C195">
        <f t="shared" si="20"/>
        <v>0.91</v>
      </c>
      <c r="D195" t="s">
        <v>12</v>
      </c>
    </row>
    <row r="196" spans="1:20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>
      <c r="A199" t="s">
        <v>115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>
      <c r="A204" t="str">
        <f>'Population Definitions'!$A$6</f>
        <v>HIV 15-64</v>
      </c>
      <c r="B204" t="s">
        <v>10</v>
      </c>
      <c r="C204">
        <f t="shared" si="21"/>
        <v>0.34</v>
      </c>
      <c r="D204" t="s">
        <v>12</v>
      </c>
    </row>
    <row r="205" spans="1:20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>
      <c r="A208" t="s">
        <v>116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>
      <c r="A213" t="str">
        <f>'Population Definitions'!$A$6</f>
        <v>HIV 15-64</v>
      </c>
      <c r="B213" t="s">
        <v>10</v>
      </c>
      <c r="C213">
        <f t="shared" si="22"/>
        <v>0.5</v>
      </c>
      <c r="D213" t="s">
        <v>12</v>
      </c>
    </row>
    <row r="214" spans="1:4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92" sqref="C9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>
      <c r="A6" t="str">
        <f>'Population Definitions'!$A$6</f>
        <v>HIV 15-64</v>
      </c>
      <c r="B6" t="s">
        <v>10</v>
      </c>
      <c r="C6">
        <f t="shared" si="0"/>
        <v>0.22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Definitions'!$A$6</f>
        <v>HIV 15-64</v>
      </c>
      <c r="B15" t="s">
        <v>10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15-64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64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>
      <c r="A33" t="str">
        <f>'Population Definitions'!$A$6</f>
        <v>HIV 15-64</v>
      </c>
      <c r="B33" t="s">
        <v>10</v>
      </c>
      <c r="C33">
        <f t="shared" si="3"/>
        <v>0.5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>
      <c r="A37" t="s">
        <v>65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>
      <c r="A42" t="str">
        <f>'Population Definitions'!$A$6</f>
        <v>HIV 15-64</v>
      </c>
      <c r="B42" t="s">
        <v>10</v>
      </c>
      <c r="C42">
        <f t="shared" si="4"/>
        <v>0.5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>
      <c r="A46" t="s">
        <v>66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>
      <c r="A51" t="str">
        <f>'Population Definitions'!$A$6</f>
        <v>HIV 15-64</v>
      </c>
      <c r="B51" t="s">
        <v>11</v>
      </c>
      <c r="C51">
        <f t="shared" si="5"/>
        <v>4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>
      <c r="A55" t="s">
        <v>67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>
      <c r="A60" t="str">
        <f>'Population Definitions'!$A$6</f>
        <v>HIV 15-64</v>
      </c>
      <c r="B60" t="s">
        <v>10</v>
      </c>
      <c r="C60">
        <f t="shared" si="6"/>
        <v>1E-3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>
      <c r="A64" t="s">
        <v>68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>
      <c r="A69" t="str">
        <f>'Population Definitions'!$A$6</f>
        <v>HIV 15-64</v>
      </c>
      <c r="B69" t="s">
        <v>10</v>
      </c>
      <c r="C69">
        <f t="shared" si="7"/>
        <v>0.09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>
      <c r="A73" t="s">
        <v>69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>
      <c r="A78" t="str">
        <f>'Population Definitions'!$A$6</f>
        <v>HIV 15-64</v>
      </c>
      <c r="B78" t="s">
        <v>10</v>
      </c>
      <c r="C78">
        <f t="shared" si="8"/>
        <v>0.115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>
      <c r="A82" t="s">
        <v>70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>
      <c r="A87" t="str">
        <f>'Population Definitions'!$A$6</f>
        <v>HIV 15-64</v>
      </c>
      <c r="B87" t="s">
        <v>10</v>
      </c>
      <c r="C87">
        <v>0.5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>
      <c r="A91" t="s">
        <v>71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>
      <c r="A96" t="str">
        <f>'Population Definitions'!$A$6</f>
        <v>HIV 15-64</v>
      </c>
      <c r="B96" t="s">
        <v>10</v>
      </c>
      <c r="C96">
        <f t="shared" si="9"/>
        <v>0</v>
      </c>
      <c r="D96" t="s">
        <v>12</v>
      </c>
    </row>
    <row r="97" spans="1:20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>
      <c r="A100" t="s">
        <v>72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>
      <c r="A105" t="str">
        <f>'Population Definitions'!$A$6</f>
        <v>HIV 15-64</v>
      </c>
      <c r="B105" t="s">
        <v>10</v>
      </c>
      <c r="C105">
        <f t="shared" si="10"/>
        <v>0</v>
      </c>
      <c r="D105" t="s">
        <v>12</v>
      </c>
    </row>
    <row r="106" spans="1:20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>
      <c r="A109" t="s">
        <v>73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>
      <c r="A114" t="str">
        <f>'Population Definitions'!$A$6</f>
        <v>HIV 15-64</v>
      </c>
      <c r="B114" t="s">
        <v>10</v>
      </c>
      <c r="C114">
        <f t="shared" si="11"/>
        <v>0</v>
      </c>
      <c r="D114" t="s">
        <v>12</v>
      </c>
    </row>
    <row r="115" spans="1:20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>
      <c r="A118" t="s">
        <v>74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>
      <c r="A123" t="str">
        <f>'Population Definitions'!$A$6</f>
        <v>HIV 15-64</v>
      </c>
      <c r="B123" t="s">
        <v>10</v>
      </c>
      <c r="C123">
        <f t="shared" si="12"/>
        <v>0</v>
      </c>
      <c r="D123" t="s">
        <v>12</v>
      </c>
    </row>
    <row r="124" spans="1:20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>
      <c r="A127" t="s">
        <v>75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>
      <c r="A132" t="str">
        <f>'Population Definitions'!$A$6</f>
        <v>HIV 15-64</v>
      </c>
      <c r="B132" t="s">
        <v>10</v>
      </c>
      <c r="C132">
        <f t="shared" si="13"/>
        <v>0</v>
      </c>
      <c r="D132" t="s">
        <v>12</v>
      </c>
    </row>
    <row r="133" spans="1:20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>
      <c r="A136" t="s">
        <v>86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>
      <c r="A141" t="str">
        <f>'Population Definitions'!$A$6</f>
        <v>HIV 15-64</v>
      </c>
      <c r="B141" t="s">
        <v>10</v>
      </c>
      <c r="C141">
        <f t="shared" si="14"/>
        <v>0</v>
      </c>
      <c r="D141" t="s">
        <v>12</v>
      </c>
    </row>
    <row r="142" spans="1:20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>
      <c r="A145" t="s">
        <v>91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>
      <c r="A150" t="str">
        <f>'Population Definitions'!$A$6</f>
        <v>HIV 15-64</v>
      </c>
      <c r="B150" t="s">
        <v>10</v>
      </c>
      <c r="C150">
        <f t="shared" si="15"/>
        <v>0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>
      <c r="A154" t="s">
        <v>107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>
      <c r="A159" t="str">
        <f>'Population Definitions'!$A$6</f>
        <v>HIV 15-64</v>
      </c>
      <c r="B159" t="s">
        <v>10</v>
      </c>
      <c r="C159">
        <f t="shared" si="16"/>
        <v>0</v>
      </c>
      <c r="D159" t="s">
        <v>12</v>
      </c>
    </row>
    <row r="160" spans="1:20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>
      <c r="A163" t="s">
        <v>112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>
      <c r="A168" t="str">
        <f>'Population Definitions'!$A$6</f>
        <v>HIV 15-64</v>
      </c>
      <c r="B168" t="s">
        <v>10</v>
      </c>
      <c r="C168">
        <f t="shared" si="17"/>
        <v>0</v>
      </c>
      <c r="D168" t="s">
        <v>12</v>
      </c>
    </row>
    <row r="169" spans="1:20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>
      <c r="A172" t="s">
        <v>121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Gen 0-4</v>
      </c>
      <c r="B173" t="s">
        <v>10</v>
      </c>
      <c r="C173">
        <f>IF(SUMPRODUCT(--(E173:T173&lt;&gt;""))=0,0.2,"N.A.")</f>
        <v>0.2</v>
      </c>
      <c r="D173" t="s">
        <v>12</v>
      </c>
    </row>
    <row r="174" spans="1:20">
      <c r="A174" t="str">
        <f>'Population Definitions'!$A$3</f>
        <v>Gen 5-14</v>
      </c>
      <c r="B174" t="s">
        <v>10</v>
      </c>
      <c r="C174">
        <f t="shared" ref="C174:C178" si="18">IF(SUMPRODUCT(--(E174:T174&lt;&gt;""))=0,0.2,"N.A.")</f>
        <v>0.2</v>
      </c>
      <c r="D174" t="s">
        <v>12</v>
      </c>
    </row>
    <row r="175" spans="1:20">
      <c r="A175" t="str">
        <f>'Population Definitions'!$A$4</f>
        <v>Gen 15-64</v>
      </c>
      <c r="B175" t="s">
        <v>10</v>
      </c>
      <c r="C175">
        <f t="shared" si="18"/>
        <v>0.2</v>
      </c>
      <c r="D175" t="s">
        <v>12</v>
      </c>
    </row>
    <row r="176" spans="1:20">
      <c r="A176" t="str">
        <f>'Population Definitions'!$A$5</f>
        <v>Gen 65+</v>
      </c>
      <c r="B176" t="s">
        <v>10</v>
      </c>
      <c r="C176">
        <f t="shared" si="18"/>
        <v>0.2</v>
      </c>
      <c r="D176" t="s">
        <v>12</v>
      </c>
    </row>
    <row r="177" spans="1:20">
      <c r="A177" t="str">
        <f>'Population Definitions'!$A$6</f>
        <v>HIV 15-64</v>
      </c>
      <c r="B177" t="s">
        <v>10</v>
      </c>
      <c r="C177">
        <f t="shared" si="18"/>
        <v>0.2</v>
      </c>
      <c r="D177" t="s">
        <v>12</v>
      </c>
    </row>
    <row r="178" spans="1:20">
      <c r="A178" t="str">
        <f>'Population Definitions'!$A$7</f>
        <v>Prisoners</v>
      </c>
      <c r="B178" t="s">
        <v>10</v>
      </c>
      <c r="C178">
        <f t="shared" si="18"/>
        <v>0.2</v>
      </c>
      <c r="D178" t="s">
        <v>12</v>
      </c>
    </row>
    <row r="179" spans="1:20">
      <c r="A179" t="str">
        <f>'Population Definitions'!$A$8</f>
        <v>Population 7</v>
      </c>
      <c r="B179" t="s">
        <v>10</v>
      </c>
      <c r="D179" t="s">
        <v>12</v>
      </c>
    </row>
    <row r="181" spans="1:20">
      <c r="A181" t="s">
        <v>122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Gen 0-4</v>
      </c>
      <c r="B182" t="s">
        <v>10</v>
      </c>
      <c r="C182">
        <f t="shared" ref="C182:C188" si="19">IF(SUMPRODUCT(--(E182:T182&lt;&gt;""))=0,0.15,"N.A.")</f>
        <v>0.15</v>
      </c>
      <c r="D182" t="s">
        <v>12</v>
      </c>
    </row>
    <row r="183" spans="1:20">
      <c r="A183" t="str">
        <f>'Population Definitions'!$A$3</f>
        <v>Gen 5-14</v>
      </c>
      <c r="B183" t="s">
        <v>10</v>
      </c>
      <c r="C183">
        <f t="shared" si="19"/>
        <v>0.15</v>
      </c>
      <c r="D183" t="s">
        <v>12</v>
      </c>
    </row>
    <row r="184" spans="1:20">
      <c r="A184" t="str">
        <f>'Population Definitions'!$A$4</f>
        <v>Gen 15-64</v>
      </c>
      <c r="B184" t="s">
        <v>10</v>
      </c>
      <c r="C184">
        <f t="shared" si="19"/>
        <v>0.15</v>
      </c>
      <c r="D184" t="s">
        <v>12</v>
      </c>
    </row>
    <row r="185" spans="1:20">
      <c r="A185" t="str">
        <f>'Population Definitions'!$A$5</f>
        <v>Gen 65+</v>
      </c>
      <c r="B185" t="s">
        <v>10</v>
      </c>
      <c r="C185">
        <f t="shared" si="19"/>
        <v>0.15</v>
      </c>
      <c r="D185" t="s">
        <v>12</v>
      </c>
    </row>
    <row r="186" spans="1:20">
      <c r="A186" t="str">
        <f>'Population Definitions'!$A$6</f>
        <v>HIV 15-64</v>
      </c>
      <c r="B186" t="s">
        <v>10</v>
      </c>
      <c r="C186">
        <f t="shared" si="19"/>
        <v>0.15</v>
      </c>
      <c r="D186" t="s">
        <v>12</v>
      </c>
    </row>
    <row r="187" spans="1:20">
      <c r="A187" t="str">
        <f>'Population Definitions'!$A$7</f>
        <v>Prisoners</v>
      </c>
      <c r="B187" t="s">
        <v>10</v>
      </c>
      <c r="C187">
        <f t="shared" si="19"/>
        <v>0.15</v>
      </c>
      <c r="D187" t="s">
        <v>12</v>
      </c>
    </row>
    <row r="188" spans="1:20">
      <c r="A188" t="str">
        <f>'Population Definitions'!$A$8</f>
        <v>Population 7</v>
      </c>
      <c r="B188" t="s">
        <v>10</v>
      </c>
      <c r="C188">
        <f t="shared" si="19"/>
        <v>0.15</v>
      </c>
      <c r="D188" t="s">
        <v>12</v>
      </c>
    </row>
    <row r="190" spans="1:20">
      <c r="A190" t="s">
        <v>123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Gen 0-4</v>
      </c>
      <c r="B191" t="s">
        <v>10</v>
      </c>
      <c r="C191">
        <f t="shared" ref="C191:C197" si="20">IF(SUMPRODUCT(--(E191:T191&lt;&gt;""))=0,0.15,"N.A.")</f>
        <v>0.15</v>
      </c>
      <c r="D191" t="s">
        <v>12</v>
      </c>
    </row>
    <row r="192" spans="1:20">
      <c r="A192" t="str">
        <f>'Population Definitions'!$A$3</f>
        <v>Gen 5-14</v>
      </c>
      <c r="B192" t="s">
        <v>10</v>
      </c>
      <c r="C192">
        <f t="shared" si="20"/>
        <v>0.15</v>
      </c>
      <c r="D192" t="s">
        <v>12</v>
      </c>
    </row>
    <row r="193" spans="1:20">
      <c r="A193" t="str">
        <f>'Population Definitions'!$A$4</f>
        <v>Gen 15-64</v>
      </c>
      <c r="B193" t="s">
        <v>10</v>
      </c>
      <c r="C193">
        <f t="shared" si="20"/>
        <v>0.15</v>
      </c>
      <c r="D193" t="s">
        <v>12</v>
      </c>
    </row>
    <row r="194" spans="1:20">
      <c r="A194" t="str">
        <f>'Population Definitions'!$A$5</f>
        <v>Gen 65+</v>
      </c>
      <c r="B194" t="s">
        <v>10</v>
      </c>
      <c r="C194">
        <f t="shared" si="20"/>
        <v>0.15</v>
      </c>
      <c r="D194" t="s">
        <v>12</v>
      </c>
    </row>
    <row r="195" spans="1:20">
      <c r="A195" t="str">
        <f>'Population Definitions'!$A$6</f>
        <v>HIV 15-64</v>
      </c>
      <c r="B195" t="s">
        <v>10</v>
      </c>
      <c r="C195">
        <f t="shared" si="20"/>
        <v>0.15</v>
      </c>
      <c r="D195" t="s">
        <v>12</v>
      </c>
    </row>
    <row r="196" spans="1:20">
      <c r="A196" t="str">
        <f>'Population Definitions'!$A$7</f>
        <v>Prisoners</v>
      </c>
      <c r="B196" t="s">
        <v>10</v>
      </c>
      <c r="C196">
        <f t="shared" si="20"/>
        <v>0.15</v>
      </c>
      <c r="D196" t="s">
        <v>12</v>
      </c>
    </row>
    <row r="197" spans="1:20">
      <c r="A197" t="str">
        <f>'Population Definitions'!$A$8</f>
        <v>Population 7</v>
      </c>
      <c r="B197" t="s">
        <v>10</v>
      </c>
      <c r="C197">
        <f t="shared" si="20"/>
        <v>0.15</v>
      </c>
      <c r="D197" t="s">
        <v>12</v>
      </c>
    </row>
    <row r="199" spans="1:20">
      <c r="A199" t="s">
        <v>124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Gen 0-4</v>
      </c>
      <c r="B200" t="s">
        <v>10</v>
      </c>
      <c r="C200">
        <f t="shared" ref="C200:C206" si="21">IF(SUMPRODUCT(--(E200:T200&lt;&gt;""))=0,0.2,"N.A.")</f>
        <v>0.2</v>
      </c>
      <c r="D200" t="s">
        <v>12</v>
      </c>
    </row>
    <row r="201" spans="1:20">
      <c r="A201" t="str">
        <f>'Population Definitions'!$A$3</f>
        <v>Gen 5-14</v>
      </c>
      <c r="B201" t="s">
        <v>10</v>
      </c>
      <c r="C201">
        <f t="shared" si="21"/>
        <v>0.2</v>
      </c>
      <c r="D201" t="s">
        <v>12</v>
      </c>
    </row>
    <row r="202" spans="1:20">
      <c r="A202" t="str">
        <f>'Population Definitions'!$A$4</f>
        <v>Gen 15-64</v>
      </c>
      <c r="B202" t="s">
        <v>10</v>
      </c>
      <c r="C202">
        <f t="shared" si="21"/>
        <v>0.2</v>
      </c>
      <c r="D202" t="s">
        <v>12</v>
      </c>
    </row>
    <row r="203" spans="1:20">
      <c r="A203" t="str">
        <f>'Population Definitions'!$A$5</f>
        <v>Gen 65+</v>
      </c>
      <c r="B203" t="s">
        <v>10</v>
      </c>
      <c r="C203">
        <f t="shared" si="21"/>
        <v>0.2</v>
      </c>
      <c r="D203" t="s">
        <v>12</v>
      </c>
    </row>
    <row r="204" spans="1:20">
      <c r="A204" t="str">
        <f>'Population Definitions'!$A$6</f>
        <v>HIV 15-64</v>
      </c>
      <c r="B204" t="s">
        <v>10</v>
      </c>
      <c r="C204">
        <f t="shared" si="21"/>
        <v>0.2</v>
      </c>
      <c r="D204" t="s">
        <v>12</v>
      </c>
    </row>
    <row r="205" spans="1:20">
      <c r="A205" t="str">
        <f>'Population Definitions'!$A$7</f>
        <v>Prisoners</v>
      </c>
      <c r="B205" t="s">
        <v>10</v>
      </c>
      <c r="C205">
        <f t="shared" si="21"/>
        <v>0.2</v>
      </c>
      <c r="D205" t="s">
        <v>12</v>
      </c>
    </row>
    <row r="206" spans="1:20">
      <c r="A206" t="str">
        <f>'Population Definitions'!$A$8</f>
        <v>Population 7</v>
      </c>
      <c r="B206" t="s">
        <v>10</v>
      </c>
      <c r="C206">
        <f t="shared" si="21"/>
        <v>0.2</v>
      </c>
      <c r="D206" t="s">
        <v>12</v>
      </c>
    </row>
    <row r="208" spans="1:20">
      <c r="A208" t="s">
        <v>125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>
      <c r="A209" t="str">
        <f>'Population Definitions'!$A$2</f>
        <v>Gen 0-4</v>
      </c>
      <c r="B209" t="s">
        <v>10</v>
      </c>
      <c r="C209">
        <f t="shared" ref="C209:C215" si="22">IF(SUMPRODUCT(--(E209:T209&lt;&gt;""))=0,0.15,"N.A.")</f>
        <v>0.15</v>
      </c>
      <c r="D209" t="s">
        <v>12</v>
      </c>
    </row>
    <row r="210" spans="1:20">
      <c r="A210" t="str">
        <f>'Population Definitions'!$A$3</f>
        <v>Gen 5-14</v>
      </c>
      <c r="B210" t="s">
        <v>10</v>
      </c>
      <c r="C210">
        <f t="shared" si="22"/>
        <v>0.15</v>
      </c>
      <c r="D210" t="s">
        <v>12</v>
      </c>
    </row>
    <row r="211" spans="1:20">
      <c r="A211" t="str">
        <f>'Population Definitions'!$A$4</f>
        <v>Gen 15-64</v>
      </c>
      <c r="B211" t="s">
        <v>10</v>
      </c>
      <c r="C211">
        <f t="shared" si="22"/>
        <v>0.15</v>
      </c>
      <c r="D211" t="s">
        <v>12</v>
      </c>
    </row>
    <row r="212" spans="1:20">
      <c r="A212" t="str">
        <f>'Population Definitions'!$A$5</f>
        <v>Gen 65+</v>
      </c>
      <c r="B212" t="s">
        <v>10</v>
      </c>
      <c r="C212">
        <f t="shared" si="22"/>
        <v>0.15</v>
      </c>
      <c r="D212" t="s">
        <v>12</v>
      </c>
    </row>
    <row r="213" spans="1:20">
      <c r="A213" t="str">
        <f>'Population Definitions'!$A$6</f>
        <v>HIV 15-64</v>
      </c>
      <c r="B213" t="s">
        <v>10</v>
      </c>
      <c r="C213">
        <f t="shared" si="22"/>
        <v>0.15</v>
      </c>
      <c r="D213" t="s">
        <v>12</v>
      </c>
    </row>
    <row r="214" spans="1:20">
      <c r="A214" t="str">
        <f>'Population Definitions'!$A$7</f>
        <v>Prisoners</v>
      </c>
      <c r="B214" t="s">
        <v>10</v>
      </c>
      <c r="C214">
        <f t="shared" si="22"/>
        <v>0.15</v>
      </c>
      <c r="D214" t="s">
        <v>12</v>
      </c>
    </row>
    <row r="215" spans="1:20">
      <c r="A215" t="str">
        <f>'Population Definitions'!$A$8</f>
        <v>Population 7</v>
      </c>
      <c r="B215" t="s">
        <v>10</v>
      </c>
      <c r="C215">
        <f t="shared" si="22"/>
        <v>0.15</v>
      </c>
      <c r="D215" t="s">
        <v>12</v>
      </c>
    </row>
    <row r="217" spans="1:20">
      <c r="A217" t="s">
        <v>126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>
      <c r="A218" t="str">
        <f>'Population Definitions'!$A$2</f>
        <v>Gen 0-4</v>
      </c>
      <c r="B218" t="s">
        <v>10</v>
      </c>
      <c r="C218">
        <f t="shared" ref="C218:C224" si="23">IF(SUMPRODUCT(--(E218:T218&lt;&gt;""))=0,0.15,"N.A.")</f>
        <v>0.15</v>
      </c>
      <c r="D218" t="s">
        <v>12</v>
      </c>
    </row>
    <row r="219" spans="1:20">
      <c r="A219" t="str">
        <f>'Population Definitions'!$A$3</f>
        <v>Gen 5-14</v>
      </c>
      <c r="B219" t="s">
        <v>10</v>
      </c>
      <c r="C219">
        <f t="shared" si="23"/>
        <v>0.15</v>
      </c>
      <c r="D219" t="s">
        <v>12</v>
      </c>
    </row>
    <row r="220" spans="1:20">
      <c r="A220" t="str">
        <f>'Population Definitions'!$A$4</f>
        <v>Gen 15-64</v>
      </c>
      <c r="B220" t="s">
        <v>10</v>
      </c>
      <c r="C220">
        <f t="shared" si="23"/>
        <v>0.15</v>
      </c>
      <c r="D220" t="s">
        <v>12</v>
      </c>
    </row>
    <row r="221" spans="1:20">
      <c r="A221" t="str">
        <f>'Population Definitions'!$A$5</f>
        <v>Gen 65+</v>
      </c>
      <c r="B221" t="s">
        <v>10</v>
      </c>
      <c r="C221">
        <f t="shared" si="23"/>
        <v>0.15</v>
      </c>
      <c r="D221" t="s">
        <v>12</v>
      </c>
    </row>
    <row r="222" spans="1:20">
      <c r="A222" t="str">
        <f>'Population Definitions'!$A$6</f>
        <v>HIV 15-64</v>
      </c>
      <c r="B222" t="s">
        <v>10</v>
      </c>
      <c r="C222">
        <f t="shared" si="23"/>
        <v>0.15</v>
      </c>
      <c r="D222" t="s">
        <v>12</v>
      </c>
    </row>
    <row r="223" spans="1:20">
      <c r="A223" t="str">
        <f>'Population Definitions'!$A$7</f>
        <v>Prisoners</v>
      </c>
      <c r="B223" t="s">
        <v>10</v>
      </c>
      <c r="C223">
        <f t="shared" si="23"/>
        <v>0.15</v>
      </c>
      <c r="D223" t="s">
        <v>12</v>
      </c>
    </row>
    <row r="224" spans="1:20">
      <c r="A224" t="str">
        <f>'Population Definitions'!$A$8</f>
        <v>Population 7</v>
      </c>
      <c r="B224" t="s">
        <v>10</v>
      </c>
      <c r="C224">
        <f t="shared" si="23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57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15-64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58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Definitions'!$A$6</f>
        <v>HIV 15-64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59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>
      <c r="A24" t="str">
        <f>'Population Definitions'!$A$6</f>
        <v>HIV 15-64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61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15-64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62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15-64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63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>
      <c r="A51" t="str">
        <f>'Population Definitions'!$A$6</f>
        <v>HIV 15-64</v>
      </c>
      <c r="B51" t="s">
        <v>11</v>
      </c>
      <c r="C51">
        <f t="shared" si="5"/>
        <v>0</v>
      </c>
      <c r="D51" t="s">
        <v>12</v>
      </c>
    </row>
    <row r="52" spans="1:4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31" workbookViewId="0">
      <selection activeCell="C47" sqref="C4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96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>
      <c r="A6" t="str">
        <f>'Population Definitions'!$A$6</f>
        <v>HIV 15-64</v>
      </c>
      <c r="B6" t="s">
        <v>10</v>
      </c>
      <c r="C6">
        <f t="shared" si="0"/>
        <v>0.06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>
      <c r="A10" t="s">
        <v>97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>
      <c r="A15" t="str">
        <f>'Population Definitions'!$A$6</f>
        <v>HIV 15-64</v>
      </c>
      <c r="B15" t="s">
        <v>10</v>
      </c>
      <c r="C15">
        <f t="shared" si="1"/>
        <v>0.11</v>
      </c>
      <c r="D15" t="s">
        <v>12</v>
      </c>
    </row>
    <row r="16" spans="1:20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>
      <c r="A19" t="s">
        <v>98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>
      <c r="A24" t="str">
        <f>'Population Definitions'!$A$6</f>
        <v>HIV 15-64</v>
      </c>
      <c r="B24" t="s">
        <v>10</v>
      </c>
      <c r="C24">
        <f t="shared" si="2"/>
        <v>0.11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>
      <c r="A28" t="s">
        <v>99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>
      <c r="A33" t="str">
        <f>'Population Definitions'!$A$6</f>
        <v>HIV 15-64</v>
      </c>
      <c r="B33" t="s">
        <v>10</v>
      </c>
      <c r="C33">
        <v>0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>
      <c r="A37" t="s">
        <v>100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76</v>
      </c>
      <c r="C38">
        <f t="shared" ref="C38:C44" si="3">IF(SUMPRODUCT(--(E38:T38&lt;&gt;""))=0,3,"N.A.")</f>
        <v>3</v>
      </c>
      <c r="D38" t="s">
        <v>12</v>
      </c>
    </row>
    <row r="39" spans="1:20">
      <c r="A39" t="str">
        <f>'Population Definitions'!$A$3</f>
        <v>Gen 5-14</v>
      </c>
      <c r="B39" t="s">
        <v>76</v>
      </c>
      <c r="C39">
        <f t="shared" si="3"/>
        <v>3</v>
      </c>
      <c r="D39" t="s">
        <v>12</v>
      </c>
    </row>
    <row r="40" spans="1:20">
      <c r="A40" t="str">
        <f>'Population Definitions'!$A$4</f>
        <v>Gen 15-64</v>
      </c>
      <c r="B40" t="s">
        <v>76</v>
      </c>
      <c r="C40">
        <f t="shared" si="3"/>
        <v>3</v>
      </c>
      <c r="D40" t="s">
        <v>12</v>
      </c>
    </row>
    <row r="41" spans="1:20">
      <c r="A41" t="str">
        <f>'Population Definitions'!$A$5</f>
        <v>Gen 65+</v>
      </c>
      <c r="B41" t="s">
        <v>76</v>
      </c>
      <c r="C41">
        <f t="shared" si="3"/>
        <v>3</v>
      </c>
      <c r="D41" t="s">
        <v>12</v>
      </c>
    </row>
    <row r="42" spans="1:20">
      <c r="A42" t="str">
        <f>'Population Definitions'!$A$6</f>
        <v>HIV 15-64</v>
      </c>
      <c r="B42" t="s">
        <v>76</v>
      </c>
      <c r="C42">
        <f t="shared" si="3"/>
        <v>3</v>
      </c>
      <c r="D42" t="s">
        <v>12</v>
      </c>
    </row>
    <row r="43" spans="1:20">
      <c r="A43" t="str">
        <f>'Population Definitions'!$A$7</f>
        <v>Prisoners</v>
      </c>
      <c r="B43" t="s">
        <v>76</v>
      </c>
      <c r="C43">
        <f t="shared" si="3"/>
        <v>3</v>
      </c>
      <c r="D43" t="s">
        <v>12</v>
      </c>
    </row>
    <row r="44" spans="1:20">
      <c r="A44" t="str">
        <f>'Population Definitions'!$A$8</f>
        <v>Population 7</v>
      </c>
      <c r="B44" t="s">
        <v>76</v>
      </c>
      <c r="C44">
        <f t="shared" si="3"/>
        <v>3</v>
      </c>
      <c r="D44" t="s">
        <v>12</v>
      </c>
    </row>
    <row r="46" spans="1:20">
      <c r="A46" t="s">
        <v>101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76</v>
      </c>
      <c r="C47">
        <f t="shared" ref="C47:C53" si="4">IF(SUMPRODUCT(--(E47:T47&lt;&gt;""))=0,2,"N.A.")</f>
        <v>2</v>
      </c>
      <c r="D47" t="s">
        <v>12</v>
      </c>
    </row>
    <row r="48" spans="1:20">
      <c r="A48" t="str">
        <f>'Population Definitions'!$A$3</f>
        <v>Gen 5-14</v>
      </c>
      <c r="B48" t="s">
        <v>76</v>
      </c>
      <c r="C48">
        <f t="shared" si="4"/>
        <v>2</v>
      </c>
      <c r="D48" t="s">
        <v>12</v>
      </c>
    </row>
    <row r="49" spans="1:20">
      <c r="A49" t="str">
        <f>'Population Definitions'!$A$4</f>
        <v>Gen 15-64</v>
      </c>
      <c r="B49" t="s">
        <v>76</v>
      </c>
      <c r="C49">
        <f t="shared" si="4"/>
        <v>2</v>
      </c>
      <c r="D49" t="s">
        <v>12</v>
      </c>
    </row>
    <row r="50" spans="1:20">
      <c r="A50" t="str">
        <f>'Population Definitions'!$A$5</f>
        <v>Gen 65+</v>
      </c>
      <c r="B50" t="s">
        <v>76</v>
      </c>
      <c r="C50">
        <f t="shared" si="4"/>
        <v>2</v>
      </c>
      <c r="D50" t="s">
        <v>12</v>
      </c>
    </row>
    <row r="51" spans="1:20">
      <c r="A51" t="str">
        <f>'Population Definitions'!$A$6</f>
        <v>HIV 15-64</v>
      </c>
      <c r="B51" t="s">
        <v>76</v>
      </c>
      <c r="C51">
        <f t="shared" si="4"/>
        <v>2</v>
      </c>
      <c r="D51" t="s">
        <v>12</v>
      </c>
    </row>
    <row r="52" spans="1:20">
      <c r="A52" t="str">
        <f>'Population Definitions'!$A$7</f>
        <v>Prisoners</v>
      </c>
      <c r="B52" t="s">
        <v>76</v>
      </c>
      <c r="C52">
        <f t="shared" si="4"/>
        <v>2</v>
      </c>
      <c r="D52" t="s">
        <v>12</v>
      </c>
    </row>
    <row r="53" spans="1:20">
      <c r="A53" t="str">
        <f>'Population Definitions'!$A$8</f>
        <v>Population 7</v>
      </c>
      <c r="B53" t="s">
        <v>76</v>
      </c>
      <c r="C53">
        <f t="shared" si="4"/>
        <v>2</v>
      </c>
      <c r="D53" t="s">
        <v>12</v>
      </c>
    </row>
    <row r="55" spans="1:20">
      <c r="A55" t="s">
        <v>102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76</v>
      </c>
      <c r="C56">
        <f t="shared" ref="C56:C62" si="5">IF(SUMPRODUCT(--(E56:T56&lt;&gt;""))=0,1,"N.A.")</f>
        <v>1</v>
      </c>
      <c r="D56" t="s">
        <v>12</v>
      </c>
    </row>
    <row r="57" spans="1:20">
      <c r="A57" t="str">
        <f>'Population Definitions'!$A$3</f>
        <v>Gen 5-14</v>
      </c>
      <c r="B57" t="s">
        <v>76</v>
      </c>
      <c r="C57">
        <f t="shared" si="5"/>
        <v>1</v>
      </c>
      <c r="D57" t="s">
        <v>12</v>
      </c>
    </row>
    <row r="58" spans="1:20">
      <c r="A58" t="str">
        <f>'Population Definitions'!$A$4</f>
        <v>Gen 15-64</v>
      </c>
      <c r="B58" t="s">
        <v>76</v>
      </c>
      <c r="C58">
        <f t="shared" si="5"/>
        <v>1</v>
      </c>
      <c r="D58" t="s">
        <v>12</v>
      </c>
    </row>
    <row r="59" spans="1:20">
      <c r="A59" t="str">
        <f>'Population Definitions'!$A$5</f>
        <v>Gen 65+</v>
      </c>
      <c r="B59" t="s">
        <v>76</v>
      </c>
      <c r="C59">
        <f t="shared" si="5"/>
        <v>1</v>
      </c>
      <c r="D59" t="s">
        <v>12</v>
      </c>
    </row>
    <row r="60" spans="1:20">
      <c r="A60" t="str">
        <f>'Population Definitions'!$A$6</f>
        <v>HIV 15-64</v>
      </c>
      <c r="B60" t="s">
        <v>76</v>
      </c>
      <c r="C60">
        <f t="shared" si="5"/>
        <v>1</v>
      </c>
      <c r="D60" t="s">
        <v>12</v>
      </c>
    </row>
    <row r="61" spans="1:20">
      <c r="A61" t="str">
        <f>'Population Definitions'!$A$7</f>
        <v>Prisoners</v>
      </c>
      <c r="B61" t="s">
        <v>76</v>
      </c>
      <c r="C61">
        <f t="shared" si="5"/>
        <v>1</v>
      </c>
      <c r="D61" t="s">
        <v>12</v>
      </c>
    </row>
    <row r="62" spans="1:20">
      <c r="A62" t="str">
        <f>'Population Definitions'!$A$8</f>
        <v>Population 7</v>
      </c>
      <c r="B62" t="s">
        <v>76</v>
      </c>
      <c r="C62">
        <f t="shared" si="5"/>
        <v>1</v>
      </c>
      <c r="D62" t="s">
        <v>12</v>
      </c>
    </row>
    <row r="64" spans="1:20">
      <c r="A64" t="s">
        <v>117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>
      <c r="A69" t="str">
        <f>'Population Definitions'!$A$6</f>
        <v>HIV 15-64</v>
      </c>
      <c r="B69" t="s">
        <v>10</v>
      </c>
      <c r="C69">
        <f t="shared" si="6"/>
        <v>0.2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>
      <c r="A73" t="s">
        <v>118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>
      <c r="A78" t="str">
        <f>'Population Definitions'!$A$6</f>
        <v>HIV 15-64</v>
      </c>
      <c r="B78" t="s">
        <v>10</v>
      </c>
      <c r="C78">
        <f t="shared" si="7"/>
        <v>0.06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>
      <c r="A82" t="s">
        <v>119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>
      <c r="A87" t="str">
        <f>'Population Definitions'!$A$6</f>
        <v>HIV 15-64</v>
      </c>
      <c r="B87" t="s">
        <v>10</v>
      </c>
      <c r="C87">
        <f t="shared" si="8"/>
        <v>0.11</v>
      </c>
      <c r="D87" t="s">
        <v>12</v>
      </c>
    </row>
    <row r="88" spans="1:20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>
      <c r="A91" t="s">
        <v>120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>
      <c r="A96" t="str">
        <f>'Population Definitions'!$A$6</f>
        <v>HIV 15-64</v>
      </c>
      <c r="B96" t="s">
        <v>10</v>
      </c>
      <c r="C96">
        <f t="shared" si="9"/>
        <v>0.11</v>
      </c>
      <c r="D96" t="s">
        <v>12</v>
      </c>
    </row>
    <row r="97" spans="1:4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15.6640625" customWidth="1"/>
  </cols>
  <sheetData>
    <row r="1" spans="1:8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15-64</v>
      </c>
      <c r="G1" t="str">
        <f>'Population Definitions'!$B$7</f>
        <v>Pris</v>
      </c>
      <c r="H1" t="str">
        <f>'Population Definitions'!$B$8</f>
        <v>Pop7</v>
      </c>
    </row>
    <row r="2" spans="1:8">
      <c r="A2" t="str">
        <f>'Population Definitions'!$B$2</f>
        <v>0-4</v>
      </c>
      <c r="C2" t="s">
        <v>137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 t="str">
        <f>'Population Definitions'!$B$3</f>
        <v>5-14</v>
      </c>
      <c r="B3" t="s">
        <v>6</v>
      </c>
      <c r="D3" t="s">
        <v>137</v>
      </c>
      <c r="E3" t="s">
        <v>6</v>
      </c>
      <c r="F3" t="s">
        <v>6</v>
      </c>
      <c r="G3" t="s">
        <v>6</v>
      </c>
      <c r="H3" t="s">
        <v>6</v>
      </c>
    </row>
    <row r="4" spans="1:8">
      <c r="A4" t="str">
        <f>'Population Definitions'!$B$4</f>
        <v>15-64</v>
      </c>
      <c r="B4" t="s">
        <v>6</v>
      </c>
      <c r="C4" t="s">
        <v>6</v>
      </c>
      <c r="E4" t="s">
        <v>137</v>
      </c>
      <c r="F4" t="s">
        <v>6</v>
      </c>
      <c r="G4" t="s">
        <v>6</v>
      </c>
      <c r="H4" t="s">
        <v>6</v>
      </c>
    </row>
    <row r="5" spans="1:8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>
      <c r="A6" t="str">
        <f>'Population Definitions'!$B$6</f>
        <v>HIV 15-64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>
      <c r="A10" t="s">
        <v>138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15-64</v>
      </c>
      <c r="G10" t="str">
        <f>'Population Definitions'!$B$7</f>
        <v>Pris</v>
      </c>
      <c r="H10" t="str">
        <f>'Population Definitions'!$B$8</f>
        <v>Pop7</v>
      </c>
    </row>
    <row r="11" spans="1:8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137</v>
      </c>
      <c r="G13" t="s">
        <v>6</v>
      </c>
      <c r="H13" t="s">
        <v>6</v>
      </c>
    </row>
    <row r="14" spans="1:8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>
      <c r="A15" t="str">
        <f>'Population Definitions'!$B$6</f>
        <v>HIV 15-64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>
      <c r="A19" t="s">
        <v>139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15-64</v>
      </c>
      <c r="G19" t="str">
        <f>'Population Definitions'!$B$7</f>
        <v>Pris</v>
      </c>
      <c r="H19" t="str">
        <f>'Population Definitions'!$B$8</f>
        <v>Pop7</v>
      </c>
    </row>
    <row r="20" spans="1:8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137</v>
      </c>
      <c r="H22" t="s">
        <v>6</v>
      </c>
    </row>
    <row r="23" spans="1:8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137</v>
      </c>
      <c r="H23" t="s">
        <v>6</v>
      </c>
    </row>
    <row r="24" spans="1:8">
      <c r="A24" t="str">
        <f>'Population Definitions'!$B$6</f>
        <v>HIV 15-64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>
      <c r="A25" t="str">
        <f>'Population Definitions'!$B$7</f>
        <v>Pris</v>
      </c>
      <c r="B25" t="s">
        <v>6</v>
      </c>
      <c r="C25" t="s">
        <v>6</v>
      </c>
      <c r="D25" t="s">
        <v>137</v>
      </c>
      <c r="E25" t="s">
        <v>137</v>
      </c>
      <c r="F25" t="s">
        <v>6</v>
      </c>
      <c r="H25" t="s">
        <v>6</v>
      </c>
    </row>
    <row r="26" spans="1:8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15-64</v>
      </c>
      <c r="G28" t="str">
        <f>'Population Definitions'!$B$7</f>
        <v>Pris</v>
      </c>
      <c r="H28" t="str">
        <f>'Population Definitions'!$B$8</f>
        <v>Pop7</v>
      </c>
    </row>
    <row r="29" spans="1:8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>
      <c r="A33" t="str">
        <f>'Population Definitions'!$B$6</f>
        <v>HIV 15-64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41" workbookViewId="0">
      <selection activeCell="E62" sqref="E62"/>
    </sheetView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3:E43" si="2">IF(A3&lt;&gt;"...",IF(SUMPRODUCT(--(G3:V3&lt;&gt;""))=0,0,"N.A."),"")</f>
        <v/>
      </c>
      <c r="F3" t="str">
        <f t="shared" si="1"/>
        <v/>
      </c>
    </row>
    <row r="4" spans="1:2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>
      <c r="A17" t="str">
        <f>IF('Transfer Definitions'!F13="y",'Population Definitions'!$A$4,"...")</f>
        <v>Gen 15-64</v>
      </c>
      <c r="B17" t="str">
        <f>IF('Transfer Definitions'!F13="y","---&gt;","")</f>
        <v>---&gt;</v>
      </c>
      <c r="C17" t="str">
        <f>IF('Transfer Definitions'!F13="y",'Population Definitions'!$A$6,"")</f>
        <v>HIV 15-64</v>
      </c>
      <c r="D17" t="str">
        <f t="shared" si="0"/>
        <v>Fraction</v>
      </c>
      <c r="E17">
        <f>IF(A17&lt;&gt;"...",IF(SUMPRODUCT(--(G17:V17&lt;&gt;""))=0,0.004,"N.A."),"")</f>
        <v>4.0000000000000001E-3</v>
      </c>
      <c r="F17" t="str">
        <f t="shared" si="1"/>
        <v>OR</v>
      </c>
    </row>
    <row r="18" spans="1:6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Definitions'!G22="y",'Population Definitions'!$A$4,"...")</f>
        <v>Gen 15-64</v>
      </c>
      <c r="B62" t="str">
        <f>IF('Transfer Definitions'!G22="y","---&gt;","")</f>
        <v>---&gt;</v>
      </c>
      <c r="C62" t="str">
        <f>IF('Transfer Definitions'!G22="y",'Population Definitions'!$A$7,"")</f>
        <v>Prisoners</v>
      </c>
      <c r="D62" t="str">
        <f t="shared" si="3"/>
        <v>Fraction</v>
      </c>
      <c r="E62">
        <v>0.05</v>
      </c>
      <c r="F62" t="str">
        <f t="shared" si="5"/>
        <v>OR</v>
      </c>
    </row>
    <row r="63" spans="1:6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0.02</v>
      </c>
      <c r="F68" t="str">
        <f t="shared" si="5"/>
        <v>OR</v>
      </c>
    </row>
    <row r="69" spans="1:6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0.05</v>
      </c>
      <c r="F78" t="str">
        <f t="shared" si="5"/>
        <v>OR</v>
      </c>
    </row>
    <row r="79" spans="1:6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0.02</v>
      </c>
      <c r="F79" t="str">
        <f t="shared" si="5"/>
        <v>OR</v>
      </c>
    </row>
    <row r="80" spans="1:6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K6" sqref="K6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  <col min="5" max="11" width="10.5" bestFit="1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8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HIV 15-64</v>
      </c>
      <c r="B6" t="s">
        <v>11</v>
      </c>
      <c r="C6" t="str">
        <f t="shared" si="0"/>
        <v>N.A.</v>
      </c>
      <c r="D6" t="s">
        <v>12</v>
      </c>
      <c r="E6">
        <f>E4*0.004</f>
        <v>27089.768000000004</v>
      </c>
      <c r="F6">
        <f>F4*0.004</f>
        <v>27046.952000000001</v>
      </c>
      <c r="G6">
        <f>G4*0.004</f>
        <v>26979.88</v>
      </c>
      <c r="H6">
        <f t="shared" ref="H6:O6" si="1">H4*0.004</f>
        <v>26910.216</v>
      </c>
      <c r="I6">
        <f t="shared" si="1"/>
        <v>26867.348000000002</v>
      </c>
      <c r="J6">
        <f t="shared" si="1"/>
        <v>26868.975999999999</v>
      </c>
      <c r="K6">
        <f t="shared" si="1"/>
        <v>26858.204000000002</v>
      </c>
      <c r="L6">
        <f>L4*0.004</f>
        <v>26901.292000000001</v>
      </c>
      <c r="M6">
        <f t="shared" si="1"/>
        <v>26968.296000000002</v>
      </c>
      <c r="N6">
        <f t="shared" si="1"/>
        <v>27019.768</v>
      </c>
      <c r="O6">
        <f t="shared" si="1"/>
        <v>27032.227999999999</v>
      </c>
      <c r="P6">
        <f>P4*0.004</f>
        <v>26978.912</v>
      </c>
      <c r="Q6">
        <f>Q4*0.004</f>
        <v>26901.516</v>
      </c>
      <c r="R6">
        <f>R4*0.004</f>
        <v>26805.544000000002</v>
      </c>
      <c r="S6">
        <f t="shared" ref="S6:T6" si="2">S4*0.004</f>
        <v>26696.732</v>
      </c>
      <c r="T6">
        <f t="shared" si="2"/>
        <v>26569.651999999998</v>
      </c>
    </row>
    <row r="7" spans="1:20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8" spans="1:20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0"/>
  <sheetViews>
    <sheetView workbookViewId="0">
      <selection activeCell="T2" sqref="T2:T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8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>
      <c r="A6" t="str">
        <f>'Population Definitions'!$A$6</f>
        <v>HIV 15-64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 t="str">
        <f t="shared" si="0"/>
        <v>N.A.</v>
      </c>
      <c r="D7" t="s">
        <v>12</v>
      </c>
      <c r="H7">
        <v>411</v>
      </c>
      <c r="I7">
        <v>372</v>
      </c>
      <c r="J7">
        <v>364</v>
      </c>
      <c r="K7">
        <v>230</v>
      </c>
      <c r="L7">
        <v>262</v>
      </c>
      <c r="M7">
        <v>243</v>
      </c>
      <c r="N7">
        <v>164</v>
      </c>
      <c r="O7">
        <v>151</v>
      </c>
      <c r="P7">
        <v>139</v>
      </c>
      <c r="Q7">
        <v>159</v>
      </c>
      <c r="R7">
        <v>106</v>
      </c>
      <c r="S7">
        <v>105</v>
      </c>
      <c r="T7">
        <v>83</v>
      </c>
    </row>
    <row r="8" spans="1:20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 t="str">
        <f t="shared" ref="C11:C17" si="1">IF(SUMPRODUCT(--(E11:T11&lt;&gt;""))=0,0,"N.A.")</f>
        <v>N.A.</v>
      </c>
      <c r="D11" t="s">
        <v>12</v>
      </c>
      <c r="O11">
        <v>6</v>
      </c>
      <c r="P11">
        <v>5</v>
      </c>
      <c r="Q11">
        <v>1</v>
      </c>
      <c r="R11">
        <v>2</v>
      </c>
      <c r="S11">
        <v>6</v>
      </c>
      <c r="T11">
        <v>3</v>
      </c>
    </row>
    <row r="12" spans="1:20">
      <c r="A12" t="str">
        <f>'Population Definitions'!$A$3</f>
        <v>Gen 5-14</v>
      </c>
      <c r="B12" t="s">
        <v>11</v>
      </c>
      <c r="C12" t="str">
        <f t="shared" si="1"/>
        <v>N.A.</v>
      </c>
      <c r="D12" t="s">
        <v>12</v>
      </c>
      <c r="O12">
        <v>3</v>
      </c>
      <c r="P12">
        <v>4</v>
      </c>
      <c r="Q12">
        <v>11</v>
      </c>
      <c r="R12">
        <v>3</v>
      </c>
      <c r="S12">
        <v>7</v>
      </c>
      <c r="T12">
        <v>6</v>
      </c>
    </row>
    <row r="13" spans="1:20">
      <c r="A13" t="str">
        <f>'Population Definitions'!$A$4</f>
        <v>Gen 15-64</v>
      </c>
      <c r="B13" t="s">
        <v>11</v>
      </c>
      <c r="C13" t="str">
        <f t="shared" si="1"/>
        <v>N.A.</v>
      </c>
      <c r="D13" t="s">
        <v>12</v>
      </c>
      <c r="O13">
        <v>2401</v>
      </c>
      <c r="P13">
        <v>2632</v>
      </c>
      <c r="Q13">
        <v>2939</v>
      </c>
      <c r="R13">
        <v>2848</v>
      </c>
      <c r="S13">
        <v>2429</v>
      </c>
      <c r="T13">
        <v>2381</v>
      </c>
    </row>
    <row r="14" spans="1:20">
      <c r="A14" t="str">
        <f>'Population Definitions'!$A$5</f>
        <v>Gen 65+</v>
      </c>
      <c r="B14" t="s">
        <v>11</v>
      </c>
      <c r="C14" t="str">
        <f t="shared" si="1"/>
        <v>N.A.</v>
      </c>
      <c r="D14" t="s">
        <v>12</v>
      </c>
      <c r="O14">
        <v>315</v>
      </c>
      <c r="P14">
        <v>246</v>
      </c>
      <c r="Q14">
        <v>337</v>
      </c>
      <c r="R14">
        <v>329</v>
      </c>
      <c r="S14">
        <v>292</v>
      </c>
      <c r="T14">
        <v>348</v>
      </c>
    </row>
    <row r="15" spans="1:20">
      <c r="A15" t="str">
        <f>'Population Definitions'!$A$6</f>
        <v>HIV 15-64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 t="str">
        <f t="shared" si="1"/>
        <v>N.A.</v>
      </c>
      <c r="D16" t="s">
        <v>12</v>
      </c>
      <c r="P16">
        <v>71</v>
      </c>
      <c r="Q16">
        <v>93</v>
      </c>
      <c r="R16">
        <v>63</v>
      </c>
      <c r="S16">
        <v>61</v>
      </c>
      <c r="T16">
        <v>58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 t="str">
        <f t="shared" ref="C20:C26" si="2">IF(SUMPRODUCT(--(E20:T20&lt;&gt;""))=0,0,"N.A.")</f>
        <v>N.A.</v>
      </c>
      <c r="D20" t="s">
        <v>12</v>
      </c>
      <c r="O20">
        <v>6</v>
      </c>
      <c r="P20">
        <v>3</v>
      </c>
      <c r="Q20">
        <v>1</v>
      </c>
      <c r="R20">
        <v>2</v>
      </c>
      <c r="S20">
        <v>1</v>
      </c>
      <c r="T20">
        <v>1</v>
      </c>
    </row>
    <row r="21" spans="1:20">
      <c r="A21" t="str">
        <f>'Population Definitions'!$A$3</f>
        <v>Gen 5-14</v>
      </c>
      <c r="B21" t="s">
        <v>11</v>
      </c>
      <c r="C21" t="str">
        <f t="shared" si="2"/>
        <v>N.A.</v>
      </c>
      <c r="D21" t="s">
        <v>12</v>
      </c>
      <c r="O21">
        <v>3</v>
      </c>
      <c r="P21">
        <v>4</v>
      </c>
      <c r="Q21">
        <v>11</v>
      </c>
      <c r="R21">
        <v>3</v>
      </c>
      <c r="S21">
        <v>4</v>
      </c>
      <c r="T21">
        <v>2</v>
      </c>
    </row>
    <row r="22" spans="1:20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O22">
        <v>2091.7297289511453</v>
      </c>
      <c r="P22">
        <v>2152.8929835390945</v>
      </c>
      <c r="Q22">
        <v>2263.5001384020375</v>
      </c>
      <c r="R22">
        <v>2167.5532763207902</v>
      </c>
      <c r="S22">
        <v>1872.8881453154877</v>
      </c>
      <c r="T22">
        <v>1834.5161619598503</v>
      </c>
    </row>
    <row r="23" spans="1:20">
      <c r="A23" t="str">
        <f>'Population Definitions'!$A$5</f>
        <v>Gen 65+</v>
      </c>
      <c r="B23" t="s">
        <v>11</v>
      </c>
      <c r="C23" t="str">
        <f t="shared" si="2"/>
        <v>N.A.</v>
      </c>
      <c r="D23" t="s">
        <v>12</v>
      </c>
      <c r="O23">
        <v>293.49630996309963</v>
      </c>
      <c r="P23">
        <v>222.49333333333331</v>
      </c>
      <c r="Q23">
        <v>269.98661567877633</v>
      </c>
      <c r="R23">
        <v>271.34666666666669</v>
      </c>
      <c r="S23">
        <v>242</v>
      </c>
      <c r="T23">
        <v>277</v>
      </c>
    </row>
    <row r="24" spans="1:20">
      <c r="A24" t="str">
        <f>'Population Definitions'!$A$6</f>
        <v>HIV 15-64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 t="str">
        <f t="shared" si="2"/>
        <v>N.A.</v>
      </c>
      <c r="D25" t="s">
        <v>12</v>
      </c>
      <c r="P25">
        <v>54</v>
      </c>
      <c r="Q25">
        <v>66</v>
      </c>
      <c r="R25">
        <v>36</v>
      </c>
      <c r="S25">
        <v>34</v>
      </c>
      <c r="T25">
        <v>36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 t="str">
        <f t="shared" ref="C29:C35" si="3">IF(SUMPRODUCT(--(E29:T29&lt;&gt;""))=0,0,"N.A.")</f>
        <v>N.A.</v>
      </c>
      <c r="D29" t="s">
        <v>12</v>
      </c>
      <c r="O29">
        <v>0</v>
      </c>
      <c r="P29">
        <v>2</v>
      </c>
      <c r="Q29">
        <v>0</v>
      </c>
      <c r="R29">
        <v>0</v>
      </c>
      <c r="S29">
        <v>2</v>
      </c>
      <c r="T29">
        <v>1</v>
      </c>
    </row>
    <row r="30" spans="1:20">
      <c r="A30" t="str">
        <f>'Population Definitions'!$A$3</f>
        <v>Gen 5-14</v>
      </c>
      <c r="B30" t="s">
        <v>11</v>
      </c>
      <c r="C30" t="str">
        <f t="shared" si="3"/>
        <v>N.A.</v>
      </c>
      <c r="D30" t="s">
        <v>12</v>
      </c>
      <c r="O30">
        <v>0</v>
      </c>
      <c r="P30">
        <v>0</v>
      </c>
      <c r="Q30">
        <v>0</v>
      </c>
      <c r="R30">
        <v>0</v>
      </c>
      <c r="S30">
        <v>2</v>
      </c>
      <c r="T30">
        <v>1</v>
      </c>
    </row>
    <row r="31" spans="1:20">
      <c r="A31" t="str">
        <f>'Population Definitions'!$A$4</f>
        <v>Gen 15-64</v>
      </c>
      <c r="B31" t="s">
        <v>11</v>
      </c>
      <c r="C31" t="str">
        <f t="shared" si="3"/>
        <v>N.A.</v>
      </c>
      <c r="D31" t="s">
        <v>12</v>
      </c>
      <c r="S31">
        <v>703</v>
      </c>
      <c r="T31">
        <v>666</v>
      </c>
    </row>
    <row r="32" spans="1:20">
      <c r="A32" t="str">
        <f>'Population Definitions'!$A$5</f>
        <v>Gen 65+</v>
      </c>
      <c r="B32" t="s">
        <v>11</v>
      </c>
      <c r="C32" t="str">
        <f t="shared" si="3"/>
        <v>N.A.</v>
      </c>
      <c r="D32" t="s">
        <v>12</v>
      </c>
      <c r="S32">
        <v>63</v>
      </c>
      <c r="T32">
        <v>92</v>
      </c>
    </row>
    <row r="33" spans="1:20">
      <c r="A33" t="str">
        <f>'Population Definitions'!$A$6</f>
        <v>HIV 15-64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 t="str">
        <f t="shared" si="3"/>
        <v>N.A.</v>
      </c>
      <c r="D34" t="s">
        <v>12</v>
      </c>
      <c r="S34">
        <v>6</v>
      </c>
      <c r="T34">
        <v>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 t="str">
        <f t="shared" ref="C38:C44" si="4">IF(SUMPRODUCT(--(E38:T38&lt;&gt;""))=0,0,"N.A.")</f>
        <v>N.A.</v>
      </c>
      <c r="D38" t="s">
        <v>12</v>
      </c>
      <c r="S38">
        <v>0</v>
      </c>
      <c r="T38">
        <v>1</v>
      </c>
    </row>
    <row r="39" spans="1:20">
      <c r="A39" t="str">
        <f>'Population Definitions'!$A$3</f>
        <v>Gen 5-14</v>
      </c>
      <c r="B39" t="s">
        <v>11</v>
      </c>
      <c r="C39" t="str">
        <f t="shared" si="4"/>
        <v>N.A.</v>
      </c>
      <c r="D39" t="s">
        <v>12</v>
      </c>
      <c r="O39">
        <v>0</v>
      </c>
      <c r="P39">
        <v>0</v>
      </c>
      <c r="Q39">
        <v>0</v>
      </c>
      <c r="R39">
        <v>0</v>
      </c>
      <c r="S39">
        <v>1</v>
      </c>
      <c r="T39">
        <v>3</v>
      </c>
    </row>
    <row r="40" spans="1:20">
      <c r="A40" t="str">
        <f>'Population Definitions'!$A$4</f>
        <v>Gen 15-64</v>
      </c>
      <c r="B40" t="s">
        <v>11</v>
      </c>
      <c r="C40" t="str">
        <f t="shared" si="4"/>
        <v>N.A.</v>
      </c>
      <c r="D40" t="s">
        <v>12</v>
      </c>
      <c r="S40">
        <v>126</v>
      </c>
      <c r="T40">
        <v>208</v>
      </c>
    </row>
    <row r="41" spans="1:20">
      <c r="A41" t="str">
        <f>'Population Definitions'!$A$5</f>
        <v>Gen 65+</v>
      </c>
      <c r="B41" t="s">
        <v>11</v>
      </c>
      <c r="C41" t="str">
        <f t="shared" si="4"/>
        <v>N.A.</v>
      </c>
      <c r="D41" t="s">
        <v>12</v>
      </c>
      <c r="S41">
        <v>27</v>
      </c>
      <c r="T41">
        <v>21</v>
      </c>
    </row>
    <row r="42" spans="1:20">
      <c r="A42" t="str">
        <f>'Population Definitions'!$A$6</f>
        <v>HIV 15-64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 t="str">
        <f t="shared" si="4"/>
        <v>N.A.</v>
      </c>
      <c r="D43" t="s">
        <v>12</v>
      </c>
      <c r="S43">
        <v>27</v>
      </c>
      <c r="T43">
        <v>39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 t="str">
        <f t="shared" ref="C47:C53" si="5">IF(SUMPRODUCT(--(E47:T47&lt;&gt;""))=0,0,"N.A.")</f>
        <v>N.A.</v>
      </c>
      <c r="D47" t="s">
        <v>12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</row>
    <row r="48" spans="1:20">
      <c r="A48" t="str">
        <f>'Population Definitions'!$A$3</f>
        <v>Gen 5-14</v>
      </c>
      <c r="B48" t="s">
        <v>11</v>
      </c>
      <c r="C48" t="str">
        <f t="shared" si="5"/>
        <v>N.A.</v>
      </c>
      <c r="D48" t="s">
        <v>12</v>
      </c>
      <c r="O48">
        <v>16</v>
      </c>
      <c r="P48">
        <v>13</v>
      </c>
      <c r="Q48">
        <v>2</v>
      </c>
      <c r="R48">
        <v>8</v>
      </c>
      <c r="S48">
        <v>7</v>
      </c>
      <c r="T48">
        <v>3</v>
      </c>
    </row>
    <row r="49" spans="1:20">
      <c r="A49" t="str">
        <f>'Population Definitions'!$A$4</f>
        <v>Gen 15-64</v>
      </c>
      <c r="B49" t="s">
        <v>11</v>
      </c>
      <c r="C49" t="str">
        <f t="shared" si="5"/>
        <v>N.A.</v>
      </c>
      <c r="D49" t="s">
        <v>12</v>
      </c>
      <c r="O49">
        <v>1220</v>
      </c>
      <c r="P49">
        <v>806</v>
      </c>
      <c r="Q49">
        <v>275</v>
      </c>
      <c r="R49">
        <v>135</v>
      </c>
      <c r="S49">
        <v>240</v>
      </c>
      <c r="T49">
        <v>26</v>
      </c>
    </row>
    <row r="50" spans="1:20">
      <c r="A50" t="str">
        <f>'Population Definitions'!$A$5</f>
        <v>Gen 65+</v>
      </c>
      <c r="B50" t="s">
        <v>11</v>
      </c>
      <c r="C50" t="str">
        <f t="shared" si="5"/>
        <v>N.A.</v>
      </c>
      <c r="D50" t="s">
        <v>12</v>
      </c>
      <c r="O50">
        <v>227</v>
      </c>
      <c r="P50">
        <v>204</v>
      </c>
      <c r="Q50">
        <v>186</v>
      </c>
      <c r="R50">
        <v>196</v>
      </c>
      <c r="S50">
        <v>177</v>
      </c>
      <c r="T50">
        <v>184</v>
      </c>
    </row>
    <row r="51" spans="1:20">
      <c r="A51" t="str">
        <f>'Population Definitions'!$A$6</f>
        <v>HIV 15-64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 t="str">
        <f t="shared" si="5"/>
        <v>N.A.</v>
      </c>
      <c r="D52" t="s">
        <v>12</v>
      </c>
      <c r="P52">
        <v>68</v>
      </c>
      <c r="Q52">
        <v>66</v>
      </c>
      <c r="R52">
        <v>43</v>
      </c>
      <c r="S52">
        <v>44</v>
      </c>
      <c r="T52">
        <v>25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 t="str">
        <f t="shared" ref="C56:C62" si="6">IF(SUMPRODUCT(--(E56:T56&lt;&gt;""))=0,0,"N.A.")</f>
        <v>N.A.</v>
      </c>
      <c r="D56" t="s">
        <v>12</v>
      </c>
      <c r="O56">
        <v>1</v>
      </c>
      <c r="P56">
        <v>0</v>
      </c>
      <c r="Q56">
        <v>1</v>
      </c>
      <c r="R56">
        <v>0</v>
      </c>
      <c r="S56">
        <v>3</v>
      </c>
      <c r="T56">
        <v>0</v>
      </c>
    </row>
    <row r="57" spans="1:20">
      <c r="A57" t="str">
        <f>'Population Definitions'!$A$3</f>
        <v>Gen 5-14</v>
      </c>
      <c r="B57" t="s">
        <v>11</v>
      </c>
      <c r="C57" t="str">
        <f t="shared" si="6"/>
        <v>N.A.</v>
      </c>
      <c r="D57" t="s">
        <v>12</v>
      </c>
      <c r="O57">
        <v>16</v>
      </c>
      <c r="P57">
        <v>10</v>
      </c>
      <c r="Q57">
        <v>2</v>
      </c>
      <c r="R57">
        <v>8</v>
      </c>
      <c r="S57">
        <v>7</v>
      </c>
      <c r="T57">
        <v>3</v>
      </c>
    </row>
    <row r="58" spans="1:20">
      <c r="A58" t="str">
        <f>'Population Definitions'!$A$4</f>
        <v>Gen 15-64</v>
      </c>
      <c r="B58" t="s">
        <v>11</v>
      </c>
      <c r="C58" t="str">
        <f t="shared" si="6"/>
        <v>N.A.</v>
      </c>
      <c r="D58" t="s">
        <v>12</v>
      </c>
      <c r="O58">
        <v>1059.2702710488547</v>
      </c>
      <c r="P58">
        <v>649.10701646090547</v>
      </c>
      <c r="Q58">
        <v>207.49986159796271</v>
      </c>
      <c r="R58">
        <v>92.44672367920964</v>
      </c>
      <c r="S58">
        <v>177.11185468451231</v>
      </c>
      <c r="T58">
        <v>15.483838040149749</v>
      </c>
    </row>
    <row r="59" spans="1:20">
      <c r="A59" t="str">
        <f>'Population Definitions'!$A$5</f>
        <v>Gen 65+</v>
      </c>
      <c r="B59" t="s">
        <v>11</v>
      </c>
      <c r="C59" t="str">
        <f t="shared" si="6"/>
        <v>N.A.</v>
      </c>
      <c r="D59" t="s">
        <v>12</v>
      </c>
      <c r="O59">
        <v>211.50369003690037</v>
      </c>
      <c r="P59">
        <v>184.50666666666669</v>
      </c>
      <c r="Q59">
        <v>149.01338432122367</v>
      </c>
      <c r="R59">
        <v>161.65333333333331</v>
      </c>
      <c r="S59">
        <v>147</v>
      </c>
      <c r="T59">
        <v>147</v>
      </c>
    </row>
    <row r="60" spans="1:20">
      <c r="A60" t="str">
        <f>'Population Definitions'!$A$6</f>
        <v>HIV 15-64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 t="str">
        <f t="shared" si="6"/>
        <v>N.A.</v>
      </c>
      <c r="D61" t="s">
        <v>12</v>
      </c>
      <c r="O61">
        <v>68</v>
      </c>
      <c r="P61">
        <v>61</v>
      </c>
      <c r="Q61">
        <v>43</v>
      </c>
      <c r="R61">
        <v>21</v>
      </c>
      <c r="S61">
        <v>24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 t="str">
        <f t="shared" ref="C65:C71" si="7">IF(SUMPRODUCT(--(E65:T65&lt;&gt;""))=0,0,"N.A.")</f>
        <v>N.A.</v>
      </c>
      <c r="D65" t="s">
        <v>12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t="str">
        <f>'Population Definitions'!$A$3</f>
        <v>Gen 5-14</v>
      </c>
      <c r="B66" t="s">
        <v>11</v>
      </c>
      <c r="C66" t="str">
        <f t="shared" si="7"/>
        <v>N.A.</v>
      </c>
      <c r="D66" t="s">
        <v>12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</row>
    <row r="67" spans="1:20">
      <c r="A67" t="str">
        <f>'Population Definitions'!$A$4</f>
        <v>Gen 15-64</v>
      </c>
      <c r="B67" t="s">
        <v>11</v>
      </c>
      <c r="C67" t="str">
        <f t="shared" si="7"/>
        <v>N.A.</v>
      </c>
      <c r="D67" t="s">
        <v>12</v>
      </c>
      <c r="S67">
        <v>174</v>
      </c>
      <c r="T67">
        <v>166</v>
      </c>
    </row>
    <row r="68" spans="1:20">
      <c r="A68" t="str">
        <f>'Population Definitions'!$A$5</f>
        <v>Gen 65+</v>
      </c>
      <c r="B68" t="s">
        <v>11</v>
      </c>
      <c r="C68" t="str">
        <f t="shared" si="7"/>
        <v>N.A.</v>
      </c>
      <c r="D68" t="s">
        <v>12</v>
      </c>
      <c r="S68">
        <v>0</v>
      </c>
      <c r="T68">
        <v>6</v>
      </c>
    </row>
    <row r="69" spans="1:20">
      <c r="A69" t="str">
        <f>'Population Definitions'!$A$6</f>
        <v>HIV 15-64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 t="str">
        <f t="shared" si="7"/>
        <v>N.A.</v>
      </c>
      <c r="D70" t="s">
        <v>12</v>
      </c>
      <c r="S70">
        <v>6</v>
      </c>
      <c r="T70">
        <v>1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 t="str">
        <f t="shared" ref="C74:C80" si="8">IF(SUMPRODUCT(--(E74:T74&lt;&gt;""))=0,0,"N.A.")</f>
        <v>N.A.</v>
      </c>
      <c r="D74" t="s">
        <v>12</v>
      </c>
      <c r="S74">
        <v>0</v>
      </c>
      <c r="T74">
        <v>0</v>
      </c>
    </row>
    <row r="75" spans="1:20">
      <c r="A75" t="str">
        <f>'Population Definitions'!$A$3</f>
        <v>Gen 5-14</v>
      </c>
      <c r="B75" t="s">
        <v>11</v>
      </c>
      <c r="C75" t="str">
        <f t="shared" si="8"/>
        <v>N.A.</v>
      </c>
      <c r="D75" t="s">
        <v>12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t="str">
        <f>'Population Definitions'!$A$4</f>
        <v>Gen 15-64</v>
      </c>
      <c r="B76" t="s">
        <v>11</v>
      </c>
      <c r="C76" t="str">
        <f t="shared" si="8"/>
        <v>N.A.</v>
      </c>
      <c r="D76" t="s">
        <v>12</v>
      </c>
      <c r="S76">
        <v>0</v>
      </c>
      <c r="T76">
        <v>0</v>
      </c>
    </row>
    <row r="77" spans="1:20">
      <c r="A77" t="str">
        <f>'Population Definitions'!$A$5</f>
        <v>Gen 65+</v>
      </c>
      <c r="B77" t="s">
        <v>11</v>
      </c>
      <c r="C77" t="str">
        <f t="shared" si="8"/>
        <v>N.A.</v>
      </c>
      <c r="D77" t="s">
        <v>12</v>
      </c>
      <c r="S77">
        <v>0</v>
      </c>
      <c r="T77">
        <v>0</v>
      </c>
    </row>
    <row r="78" spans="1:20">
      <c r="A78" t="str">
        <f>'Population Definitions'!$A$6</f>
        <v>HIV 15-64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 t="str">
        <f t="shared" si="8"/>
        <v>N.A.</v>
      </c>
      <c r="D79" t="s">
        <v>12</v>
      </c>
      <c r="S79">
        <v>0</v>
      </c>
      <c r="T79">
        <v>0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0"/>
  <sheetViews>
    <sheetView workbookViewId="0">
      <selection activeCell="H4" sqref="H4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8" si="0">IF(SUMPRODUCT(--(E2:T2&lt;&gt;""))=0,0,"N.A.")</f>
        <v>N.A.</v>
      </c>
      <c r="D2" t="s">
        <v>12</v>
      </c>
      <c r="H2">
        <f>24/0.9</f>
        <v>26.666666666666664</v>
      </c>
      <c r="I2">
        <f>28/0.9</f>
        <v>31.111111111111111</v>
      </c>
      <c r="J2">
        <f>35/0.9</f>
        <v>38.888888888888886</v>
      </c>
      <c r="K2">
        <f>26/0.9</f>
        <v>28.888888888888889</v>
      </c>
      <c r="L2">
        <f>11/0.9</f>
        <v>12.222222222222221</v>
      </c>
      <c r="M2">
        <f>11/0.9</f>
        <v>12.222222222222221</v>
      </c>
      <c r="N2">
        <f>38/0.9</f>
        <v>42.222222222222221</v>
      </c>
      <c r="O2">
        <f>7/0.9</f>
        <v>7.7777777777777777</v>
      </c>
      <c r="P2">
        <f>5/0.9</f>
        <v>5.5555555555555554</v>
      </c>
      <c r="Q2">
        <f>2/0.9</f>
        <v>2.2222222222222223</v>
      </c>
      <c r="R2">
        <f>2/0.9</f>
        <v>2.2222222222222223</v>
      </c>
      <c r="S2">
        <f>6/0.9</f>
        <v>6.6666666666666661</v>
      </c>
      <c r="T2">
        <f>3/0.9</f>
        <v>3.333333333333333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f>107/0.9</f>
        <v>118.88888888888889</v>
      </c>
      <c r="I3">
        <f>115/0.9</f>
        <v>127.77777777777777</v>
      </c>
      <c r="J3">
        <f>124/0.9</f>
        <v>137.77777777777777</v>
      </c>
      <c r="K3">
        <f>94/0.9</f>
        <v>104.44444444444444</v>
      </c>
      <c r="L3">
        <f>51/0.9</f>
        <v>56.666666666666664</v>
      </c>
      <c r="M3">
        <f>73/0.9</f>
        <v>81.111111111111114</v>
      </c>
      <c r="N3">
        <f>43/0.9</f>
        <v>47.777777777777779</v>
      </c>
      <c r="O3">
        <f>19/0.9</f>
        <v>21.111111111111111</v>
      </c>
      <c r="P3">
        <f>17/0.9</f>
        <v>18.888888888888889</v>
      </c>
      <c r="Q3">
        <f>13/0.9</f>
        <v>14.444444444444445</v>
      </c>
      <c r="R3">
        <f>11/0.9</f>
        <v>12.222222222222221</v>
      </c>
      <c r="S3">
        <f>14/0.9</f>
        <v>15.555555555555555</v>
      </c>
      <c r="T3">
        <f>9/0.9</f>
        <v>10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f>4185/0.9</f>
        <v>4650</v>
      </c>
      <c r="I4">
        <f>4504.29/0.9</f>
        <v>5004.7666666666664</v>
      </c>
      <c r="J4">
        <f>4301.28/0.9</f>
        <v>4779.2</v>
      </c>
      <c r="K4">
        <f>4371.68/0.9</f>
        <v>4857.4222222222224</v>
      </c>
      <c r="L4">
        <f>4056.8/0.9</f>
        <v>4507.5555555555557</v>
      </c>
      <c r="M4">
        <f>3662.56/0.9</f>
        <v>4069.5111111111109</v>
      </c>
      <c r="N4">
        <f>3870.63/0.9</f>
        <v>4300.7</v>
      </c>
      <c r="O4">
        <f>3621/0.9</f>
        <v>4023.333333333333</v>
      </c>
      <c r="P4">
        <f>3438/0.9</f>
        <v>3820</v>
      </c>
      <c r="Q4">
        <f>3214/0.9</f>
        <v>3571.1111111111109</v>
      </c>
      <c r="R4">
        <f>2983/0.9</f>
        <v>3314.4444444444443</v>
      </c>
      <c r="S4">
        <f>2669/0.9</f>
        <v>2965.5555555555557</v>
      </c>
      <c r="T4">
        <f>2407/0.9</f>
        <v>2674.4444444444443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f>542/0.9</f>
        <v>602.22222222222217</v>
      </c>
      <c r="P5">
        <f>450/0.9</f>
        <v>500</v>
      </c>
      <c r="Q5">
        <f>523/0.9</f>
        <v>581.11111111111109</v>
      </c>
      <c r="R5">
        <f>525/0.9</f>
        <v>583.33333333333337</v>
      </c>
      <c r="S5">
        <f>469/0.9</f>
        <v>521.11111111111109</v>
      </c>
      <c r="T5">
        <f>532/0.9</f>
        <v>591.11111111111109</v>
      </c>
    </row>
    <row r="6" spans="1:20">
      <c r="A6" t="str">
        <f>'Population Definitions'!$A$6</f>
        <v>HIV 15-64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 t="str">
        <f t="shared" si="0"/>
        <v>N.A.</v>
      </c>
      <c r="D7" t="s">
        <v>12</v>
      </c>
      <c r="H7">
        <f>411/0.9</f>
        <v>456.66666666666663</v>
      </c>
      <c r="I7">
        <f>372/0.9</f>
        <v>413.33333333333331</v>
      </c>
      <c r="J7">
        <f>364/0.9</f>
        <v>404.44444444444446</v>
      </c>
      <c r="K7">
        <f>230/0.9</f>
        <v>255.55555555555554</v>
      </c>
      <c r="L7">
        <f>262/0.9</f>
        <v>291.11111111111109</v>
      </c>
      <c r="M7">
        <f>243/0.9</f>
        <v>270</v>
      </c>
      <c r="N7">
        <f>164/0.9</f>
        <v>182.22222222222223</v>
      </c>
      <c r="O7">
        <f>151/0.9</f>
        <v>167.77777777777777</v>
      </c>
      <c r="P7">
        <f>139/0.9</f>
        <v>154.44444444444443</v>
      </c>
      <c r="Q7">
        <f>159/0.9</f>
        <v>176.66666666666666</v>
      </c>
      <c r="R7">
        <f>106/0.9</f>
        <v>117.77777777777777</v>
      </c>
      <c r="S7">
        <f>105/0.9</f>
        <v>116.66666666666666</v>
      </c>
      <c r="T7">
        <f>83/0.9</f>
        <v>92.222222222222214</v>
      </c>
    </row>
    <row r="8" spans="1:20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11</v>
      </c>
      <c r="C11" t="str">
        <f t="shared" ref="C11:C17" si="1">IF(SUMPRODUCT(--(E11:T11&lt;&gt;""))=0,0,"N.A.")</f>
        <v>N.A.</v>
      </c>
      <c r="D11" t="s">
        <v>12</v>
      </c>
      <c r="O11">
        <f>6/0.9</f>
        <v>6.6666666666666661</v>
      </c>
      <c r="P11">
        <f>5/0.9</f>
        <v>5.5555555555555554</v>
      </c>
      <c r="Q11">
        <f>1/0.9</f>
        <v>1.1111111111111112</v>
      </c>
      <c r="R11">
        <f>2/0.9</f>
        <v>2.2222222222222223</v>
      </c>
      <c r="S11">
        <f>6/0.9</f>
        <v>6.6666666666666661</v>
      </c>
      <c r="T11">
        <f>3/0.9</f>
        <v>3.333333333333333</v>
      </c>
    </row>
    <row r="12" spans="1:20">
      <c r="A12" t="str">
        <f>'Population Definitions'!$A$3</f>
        <v>Gen 5-14</v>
      </c>
      <c r="B12" t="s">
        <v>11</v>
      </c>
      <c r="C12" t="str">
        <f t="shared" si="1"/>
        <v>N.A.</v>
      </c>
      <c r="D12" t="s">
        <v>12</v>
      </c>
      <c r="O12">
        <f>3/0.9</f>
        <v>3.333333333333333</v>
      </c>
      <c r="P12">
        <f>4/0.9</f>
        <v>4.4444444444444446</v>
      </c>
      <c r="Q12">
        <f>11/0.9</f>
        <v>12.222222222222221</v>
      </c>
      <c r="R12">
        <f>3/0.9</f>
        <v>3.333333333333333</v>
      </c>
      <c r="S12">
        <f>7/0.9</f>
        <v>7.7777777777777777</v>
      </c>
      <c r="T12">
        <f>6/0.9</f>
        <v>6.6666666666666661</v>
      </c>
    </row>
    <row r="13" spans="1:20">
      <c r="A13" t="str">
        <f>'Population Definitions'!$A$4</f>
        <v>Gen 15-64</v>
      </c>
      <c r="B13" t="s">
        <v>11</v>
      </c>
      <c r="C13" t="str">
        <f t="shared" si="1"/>
        <v>N.A.</v>
      </c>
      <c r="D13" t="s">
        <v>12</v>
      </c>
      <c r="O13">
        <f>2401/0.9</f>
        <v>2667.7777777777778</v>
      </c>
      <c r="P13">
        <f>2632/0.9</f>
        <v>2924.4444444444443</v>
      </c>
      <c r="Q13">
        <f>2939/0.9</f>
        <v>3265.5555555555557</v>
      </c>
      <c r="R13">
        <f>2848/0.9</f>
        <v>3164.4444444444443</v>
      </c>
      <c r="S13">
        <f>2429/0.9</f>
        <v>2698.8888888888887</v>
      </c>
      <c r="T13">
        <f>2381/0.9</f>
        <v>2645.5555555555557</v>
      </c>
    </row>
    <row r="14" spans="1:20">
      <c r="A14" t="str">
        <f>'Population Definitions'!$A$5</f>
        <v>Gen 65+</v>
      </c>
      <c r="B14" t="s">
        <v>11</v>
      </c>
      <c r="C14" t="str">
        <f t="shared" si="1"/>
        <v>N.A.</v>
      </c>
      <c r="D14" t="s">
        <v>12</v>
      </c>
      <c r="O14">
        <f>315/0.9</f>
        <v>350</v>
      </c>
      <c r="P14">
        <f>246/0.9</f>
        <v>273.33333333333331</v>
      </c>
      <c r="Q14">
        <f>337/0.9</f>
        <v>374.44444444444446</v>
      </c>
      <c r="R14">
        <f>329/0.9</f>
        <v>365.55555555555554</v>
      </c>
      <c r="S14">
        <f>292/0.9</f>
        <v>324.44444444444446</v>
      </c>
      <c r="T14">
        <f>348/0.9</f>
        <v>386.66666666666663</v>
      </c>
    </row>
    <row r="15" spans="1:20">
      <c r="A15" t="str">
        <f>'Population Definitions'!$A$6</f>
        <v>HIV 15-64</v>
      </c>
      <c r="B15" t="s">
        <v>11</v>
      </c>
      <c r="C15">
        <f t="shared" si="1"/>
        <v>0</v>
      </c>
      <c r="D15" t="s">
        <v>12</v>
      </c>
    </row>
    <row r="16" spans="1:20">
      <c r="A16" t="str">
        <f>'Population Definitions'!$A$7</f>
        <v>Prisoners</v>
      </c>
      <c r="B16" t="s">
        <v>11</v>
      </c>
      <c r="C16" t="str">
        <f t="shared" si="1"/>
        <v>N.A.</v>
      </c>
      <c r="D16" t="s">
        <v>12</v>
      </c>
      <c r="P16">
        <f>71/0.9</f>
        <v>78.888888888888886</v>
      </c>
      <c r="Q16">
        <f>93/0.9</f>
        <v>103.33333333333333</v>
      </c>
      <c r="R16">
        <f>63/0.9</f>
        <v>70</v>
      </c>
      <c r="S16">
        <f>61/0.9</f>
        <v>67.777777777777771</v>
      </c>
      <c r="T16">
        <f>58/0.9</f>
        <v>64.444444444444443</v>
      </c>
    </row>
    <row r="17" spans="1:20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 t="str">
        <f t="shared" ref="C20:C26" si="2">IF(SUMPRODUCT(--(E20:T20&lt;&gt;""))=0,0,"N.A.")</f>
        <v>N.A.</v>
      </c>
      <c r="D20" t="s">
        <v>12</v>
      </c>
      <c r="O20">
        <f>6/0.9</f>
        <v>6.6666666666666661</v>
      </c>
      <c r="P20">
        <f>3/0.9</f>
        <v>3.333333333333333</v>
      </c>
      <c r="Q20">
        <f>1/0.9</f>
        <v>1.1111111111111112</v>
      </c>
      <c r="R20">
        <f>2/0.9</f>
        <v>2.2222222222222223</v>
      </c>
      <c r="S20">
        <f>1/0.9</f>
        <v>1.1111111111111112</v>
      </c>
      <c r="T20">
        <f>1/0.9</f>
        <v>1.1111111111111112</v>
      </c>
    </row>
    <row r="21" spans="1:20">
      <c r="A21" t="str">
        <f>'Population Definitions'!$A$3</f>
        <v>Gen 5-14</v>
      </c>
      <c r="B21" t="s">
        <v>11</v>
      </c>
      <c r="C21" t="str">
        <f t="shared" si="2"/>
        <v>N.A.</v>
      </c>
      <c r="D21" t="s">
        <v>12</v>
      </c>
      <c r="O21">
        <f>3/0.9</f>
        <v>3.333333333333333</v>
      </c>
      <c r="P21">
        <f>4/0.9</f>
        <v>4.4444444444444446</v>
      </c>
      <c r="Q21">
        <f>11/0.9</f>
        <v>12.222222222222221</v>
      </c>
      <c r="R21">
        <f>3/0.9</f>
        <v>3.333333333333333</v>
      </c>
      <c r="S21">
        <f>4/0.9</f>
        <v>4.4444444444444446</v>
      </c>
      <c r="T21">
        <f>2/0.9</f>
        <v>2.2222222222222223</v>
      </c>
    </row>
    <row r="22" spans="1:20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O22">
        <f>2091.72972895115/0.9</f>
        <v>2324.1441432790552</v>
      </c>
      <c r="P22">
        <f>2152.89298353909/0.9</f>
        <v>2392.1033150434332</v>
      </c>
      <c r="Q22">
        <f>2263.50013840204/0.9</f>
        <v>2515.0001537800445</v>
      </c>
      <c r="R22">
        <f>2167.55327632079/0.9</f>
        <v>2408.3925292453218</v>
      </c>
      <c r="S22">
        <f>1872.88814531549/0.9</f>
        <v>2080.986828128322</v>
      </c>
      <c r="T22">
        <f>1834.51616195985/0.9</f>
        <v>2038.3512910664999</v>
      </c>
    </row>
    <row r="23" spans="1:20">
      <c r="A23" t="str">
        <f>'Population Definitions'!$A$5</f>
        <v>Gen 65+</v>
      </c>
      <c r="B23" t="s">
        <v>11</v>
      </c>
      <c r="C23" t="str">
        <f t="shared" si="2"/>
        <v>N.A.</v>
      </c>
      <c r="D23" t="s">
        <v>12</v>
      </c>
      <c r="O23">
        <f>293.4963099631/0.9</f>
        <v>326.10701107011107</v>
      </c>
      <c r="P23">
        <f>222.493333333333/0.9</f>
        <v>247.21481481481445</v>
      </c>
      <c r="Q23">
        <f>269.986615678776/0.9</f>
        <v>299.98512853197332</v>
      </c>
      <c r="R23">
        <f>271.346666666667/0.9</f>
        <v>301.49629629629663</v>
      </c>
      <c r="S23">
        <f>242/0.9</f>
        <v>268.88888888888886</v>
      </c>
      <c r="T23">
        <f>277/0.9</f>
        <v>307.77777777777777</v>
      </c>
    </row>
    <row r="24" spans="1:20">
      <c r="A24" t="str">
        <f>'Population Definitions'!$A$6</f>
        <v>HIV 15-64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 t="str">
        <f t="shared" si="2"/>
        <v>N.A.</v>
      </c>
      <c r="D25" t="s">
        <v>12</v>
      </c>
      <c r="P25">
        <f>54/0.9</f>
        <v>60</v>
      </c>
      <c r="Q25">
        <f>66/0.9</f>
        <v>73.333333333333329</v>
      </c>
      <c r="R25">
        <f>36/0.9</f>
        <v>40</v>
      </c>
      <c r="S25">
        <f>34/0.9</f>
        <v>37.777777777777779</v>
      </c>
      <c r="T25">
        <f>36/0.9</f>
        <v>40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 t="str">
        <f t="shared" ref="C29:C35" si="3">IF(SUMPRODUCT(--(E29:T29&lt;&gt;""))=0,0,"N.A.")</f>
        <v>N.A.</v>
      </c>
      <c r="D29" t="s">
        <v>12</v>
      </c>
      <c r="O29">
        <v>0</v>
      </c>
      <c r="P29">
        <f>2/0.9</f>
        <v>2.2222222222222223</v>
      </c>
      <c r="Q29">
        <v>0</v>
      </c>
      <c r="R29">
        <v>0</v>
      </c>
      <c r="S29">
        <f>2/0.9</f>
        <v>2.2222222222222223</v>
      </c>
      <c r="T29">
        <f>1/0.9</f>
        <v>1.1111111111111112</v>
      </c>
    </row>
    <row r="30" spans="1:20">
      <c r="A30" t="str">
        <f>'Population Definitions'!$A$3</f>
        <v>Gen 5-14</v>
      </c>
      <c r="B30" t="s">
        <v>11</v>
      </c>
      <c r="C30" t="str">
        <f t="shared" si="3"/>
        <v>N.A.</v>
      </c>
      <c r="D30" t="s">
        <v>12</v>
      </c>
      <c r="O30">
        <v>0</v>
      </c>
      <c r="P30">
        <v>0</v>
      </c>
      <c r="Q30">
        <v>0</v>
      </c>
      <c r="R30">
        <v>0</v>
      </c>
      <c r="S30">
        <f>2/0.9</f>
        <v>2.2222222222222223</v>
      </c>
      <c r="T30">
        <f>1/0.9</f>
        <v>1.1111111111111112</v>
      </c>
    </row>
    <row r="31" spans="1:20">
      <c r="A31" t="str">
        <f>'Population Definitions'!$A$4</f>
        <v>Gen 15-64</v>
      </c>
      <c r="B31" t="s">
        <v>11</v>
      </c>
      <c r="C31" t="str">
        <f t="shared" si="3"/>
        <v>N.A.</v>
      </c>
      <c r="D31" t="s">
        <v>12</v>
      </c>
      <c r="S31">
        <f>703/0.9</f>
        <v>781.11111111111109</v>
      </c>
      <c r="T31">
        <f>666/0.9</f>
        <v>740</v>
      </c>
    </row>
    <row r="32" spans="1:20">
      <c r="A32" t="str">
        <f>'Population Definitions'!$A$5</f>
        <v>Gen 65+</v>
      </c>
      <c r="B32" t="s">
        <v>11</v>
      </c>
      <c r="C32" t="str">
        <f t="shared" si="3"/>
        <v>N.A.</v>
      </c>
      <c r="D32" t="s">
        <v>12</v>
      </c>
      <c r="S32">
        <f>63/0.9</f>
        <v>70</v>
      </c>
      <c r="T32">
        <f>92/0.9</f>
        <v>102.22222222222221</v>
      </c>
    </row>
    <row r="33" spans="1:20">
      <c r="A33" t="str">
        <f>'Population Definitions'!$A$6</f>
        <v>HIV 15-64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 t="str">
        <f t="shared" si="3"/>
        <v>N.A.</v>
      </c>
      <c r="D34" t="s">
        <v>12</v>
      </c>
      <c r="S34">
        <f>6/0.9</f>
        <v>6.6666666666666661</v>
      </c>
      <c r="T34">
        <f>2/0.9</f>
        <v>2.2222222222222223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 t="str">
        <f t="shared" ref="C38:C44" si="4">IF(SUMPRODUCT(--(E38:T38&lt;&gt;""))=0,0,"N.A.")</f>
        <v>N.A.</v>
      </c>
      <c r="D38" t="s">
        <v>12</v>
      </c>
      <c r="S38">
        <v>0</v>
      </c>
      <c r="T38">
        <f>1/0.9</f>
        <v>1.1111111111111112</v>
      </c>
    </row>
    <row r="39" spans="1:20">
      <c r="A39" t="str">
        <f>'Population Definitions'!$A$3</f>
        <v>Gen 5-14</v>
      </c>
      <c r="B39" t="s">
        <v>11</v>
      </c>
      <c r="C39" t="str">
        <f t="shared" si="4"/>
        <v>N.A.</v>
      </c>
      <c r="D39" t="s">
        <v>12</v>
      </c>
      <c r="O39">
        <v>0</v>
      </c>
      <c r="P39">
        <v>0</v>
      </c>
      <c r="Q39">
        <v>0</v>
      </c>
      <c r="R39">
        <v>0</v>
      </c>
      <c r="S39">
        <f>1/0.9</f>
        <v>1.1111111111111112</v>
      </c>
      <c r="T39">
        <f>3/0.9</f>
        <v>3.333333333333333</v>
      </c>
    </row>
    <row r="40" spans="1:20">
      <c r="A40" t="str">
        <f>'Population Definitions'!$A$4</f>
        <v>Gen 15-64</v>
      </c>
      <c r="B40" t="s">
        <v>11</v>
      </c>
      <c r="C40" t="str">
        <f t="shared" si="4"/>
        <v>N.A.</v>
      </c>
      <c r="D40" t="s">
        <v>12</v>
      </c>
      <c r="S40">
        <f>126/0.9</f>
        <v>140</v>
      </c>
      <c r="T40">
        <f>208/0.9</f>
        <v>231.11111111111111</v>
      </c>
    </row>
    <row r="41" spans="1:20">
      <c r="A41" t="str">
        <f>'Population Definitions'!$A$5</f>
        <v>Gen 65+</v>
      </c>
      <c r="B41" t="s">
        <v>11</v>
      </c>
      <c r="C41" t="str">
        <f t="shared" si="4"/>
        <v>N.A.</v>
      </c>
      <c r="D41" t="s">
        <v>12</v>
      </c>
      <c r="S41">
        <f>27/0.9</f>
        <v>30</v>
      </c>
      <c r="T41">
        <f>21/0.9</f>
        <v>23.333333333333332</v>
      </c>
    </row>
    <row r="42" spans="1:20">
      <c r="A42" t="str">
        <f>'Population Definitions'!$A$6</f>
        <v>HIV 15-64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 t="str">
        <f t="shared" si="4"/>
        <v>N.A.</v>
      </c>
      <c r="D43" t="s">
        <v>12</v>
      </c>
      <c r="S43">
        <f>27/0.9</f>
        <v>30</v>
      </c>
      <c r="T43">
        <f>39/0.9</f>
        <v>43.333333333333336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 t="str">
        <f t="shared" ref="C47:C53" si="5">IF(SUMPRODUCT(--(E47:T47&lt;&gt;""))=0,0,"N.A.")</f>
        <v>N.A.</v>
      </c>
      <c r="D47" t="s">
        <v>12</v>
      </c>
      <c r="O47">
        <f>1/0.9</f>
        <v>1.1111111111111112</v>
      </c>
      <c r="P47">
        <v>0</v>
      </c>
      <c r="Q47">
        <f>1/0.9</f>
        <v>1.1111111111111112</v>
      </c>
      <c r="R47">
        <v>0</v>
      </c>
      <c r="S47">
        <v>0</v>
      </c>
      <c r="T47">
        <v>0</v>
      </c>
    </row>
    <row r="48" spans="1:20">
      <c r="A48" t="str">
        <f>'Population Definitions'!$A$3</f>
        <v>Gen 5-14</v>
      </c>
      <c r="B48" t="s">
        <v>11</v>
      </c>
      <c r="C48" t="str">
        <f t="shared" si="5"/>
        <v>N.A.</v>
      </c>
      <c r="D48" t="s">
        <v>12</v>
      </c>
      <c r="O48">
        <f>16/0.9</f>
        <v>17.777777777777779</v>
      </c>
      <c r="P48">
        <f>13/0.9</f>
        <v>14.444444444444445</v>
      </c>
      <c r="Q48">
        <f>2/0.9</f>
        <v>2.2222222222222223</v>
      </c>
      <c r="R48">
        <f>8/0.9</f>
        <v>8.8888888888888893</v>
      </c>
      <c r="S48">
        <f>7/0.9</f>
        <v>7.7777777777777777</v>
      </c>
      <c r="T48">
        <f>3/0.9</f>
        <v>3.333333333333333</v>
      </c>
    </row>
    <row r="49" spans="1:20">
      <c r="A49" t="str">
        <f>'Population Definitions'!$A$4</f>
        <v>Gen 15-64</v>
      </c>
      <c r="B49" t="s">
        <v>11</v>
      </c>
      <c r="C49" t="str">
        <f t="shared" si="5"/>
        <v>N.A.</v>
      </c>
      <c r="D49" t="s">
        <v>12</v>
      </c>
      <c r="O49">
        <f>1220/0.9</f>
        <v>1355.5555555555554</v>
      </c>
      <c r="P49">
        <f>806/0.9</f>
        <v>895.55555555555554</v>
      </c>
      <c r="Q49">
        <f>275/0.9</f>
        <v>305.55555555555554</v>
      </c>
      <c r="R49">
        <f>135/0.9</f>
        <v>150</v>
      </c>
      <c r="S49">
        <f>240/0.9</f>
        <v>266.66666666666669</v>
      </c>
      <c r="T49">
        <f>26/0.9</f>
        <v>28.888888888888889</v>
      </c>
    </row>
    <row r="50" spans="1:20">
      <c r="A50" t="str">
        <f>'Population Definitions'!$A$5</f>
        <v>Gen 65+</v>
      </c>
      <c r="B50" t="s">
        <v>11</v>
      </c>
      <c r="C50" t="str">
        <f t="shared" si="5"/>
        <v>N.A.</v>
      </c>
      <c r="D50" t="s">
        <v>12</v>
      </c>
      <c r="O50">
        <f>227/0.9</f>
        <v>252.22222222222223</v>
      </c>
      <c r="P50">
        <f>204/0.9</f>
        <v>226.66666666666666</v>
      </c>
      <c r="Q50">
        <f>186/0.9</f>
        <v>206.66666666666666</v>
      </c>
      <c r="R50">
        <f>196/0.9</f>
        <v>217.77777777777777</v>
      </c>
      <c r="S50">
        <f>177/0.9</f>
        <v>196.66666666666666</v>
      </c>
      <c r="T50">
        <f>184/0.9</f>
        <v>204.44444444444443</v>
      </c>
    </row>
    <row r="51" spans="1:20">
      <c r="A51" t="str">
        <f>'Population Definitions'!$A$6</f>
        <v>HIV 15-64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 t="str">
        <f t="shared" si="5"/>
        <v>N.A.</v>
      </c>
      <c r="D52" t="s">
        <v>12</v>
      </c>
      <c r="P52">
        <f>68/0.9</f>
        <v>75.555555555555557</v>
      </c>
      <c r="Q52">
        <f>66/0.9</f>
        <v>73.333333333333329</v>
      </c>
      <c r="R52">
        <f>43/0.9</f>
        <v>47.777777777777779</v>
      </c>
      <c r="S52">
        <f>44/0.9</f>
        <v>48.888888888888886</v>
      </c>
      <c r="T52">
        <f>25/0.9</f>
        <v>27.777777777777779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 t="str">
        <f t="shared" ref="C56:C62" si="6">IF(SUMPRODUCT(--(E56:T56&lt;&gt;""))=0,0,"N.A.")</f>
        <v>N.A.</v>
      </c>
      <c r="D56" t="s">
        <v>12</v>
      </c>
      <c r="O56">
        <f>1/0.9</f>
        <v>1.1111111111111112</v>
      </c>
      <c r="P56">
        <v>0</v>
      </c>
      <c r="Q56">
        <f>1/0.9</f>
        <v>1.1111111111111112</v>
      </c>
      <c r="R56">
        <v>0</v>
      </c>
      <c r="S56">
        <f>3/0.9</f>
        <v>3.333333333333333</v>
      </c>
      <c r="T56">
        <v>0</v>
      </c>
    </row>
    <row r="57" spans="1:20">
      <c r="A57" t="str">
        <f>'Population Definitions'!$A$3</f>
        <v>Gen 5-14</v>
      </c>
      <c r="B57" t="s">
        <v>11</v>
      </c>
      <c r="C57" t="str">
        <f t="shared" si="6"/>
        <v>N.A.</v>
      </c>
      <c r="D57" t="s">
        <v>12</v>
      </c>
      <c r="O57">
        <f>16/0.9</f>
        <v>17.777777777777779</v>
      </c>
      <c r="P57">
        <f>10/0.9</f>
        <v>11.111111111111111</v>
      </c>
      <c r="Q57">
        <f>2/0.9</f>
        <v>2.2222222222222223</v>
      </c>
      <c r="R57">
        <f>8/0.9</f>
        <v>8.8888888888888893</v>
      </c>
      <c r="S57">
        <f>7/0.9</f>
        <v>7.7777777777777777</v>
      </c>
      <c r="T57">
        <f>3/0.9</f>
        <v>3.333333333333333</v>
      </c>
    </row>
    <row r="58" spans="1:20">
      <c r="A58" t="str">
        <f>'Population Definitions'!$A$4</f>
        <v>Gen 15-64</v>
      </c>
      <c r="B58" t="s">
        <v>11</v>
      </c>
      <c r="C58" t="str">
        <f t="shared" si="6"/>
        <v>N.A.</v>
      </c>
      <c r="D58" t="s">
        <v>12</v>
      </c>
      <c r="O58">
        <f>1059.27027104885/0.9</f>
        <v>1176.9669678320554</v>
      </c>
      <c r="P58">
        <f>649.107016460905/0.9</f>
        <v>721.23001828989447</v>
      </c>
      <c r="Q58">
        <f>207.499861597963/0.9</f>
        <v>230.55540177551444</v>
      </c>
      <c r="R58">
        <f>92.4467236792096/0.9</f>
        <v>102.71858186578844</v>
      </c>
      <c r="S58">
        <f>177.111854684512/0.9</f>
        <v>196.79094964945776</v>
      </c>
      <c r="T58">
        <f>15.4838380401497/0.9</f>
        <v>17.204264489055223</v>
      </c>
    </row>
    <row r="59" spans="1:20">
      <c r="A59" t="str">
        <f>'Population Definitions'!$A$5</f>
        <v>Gen 65+</v>
      </c>
      <c r="B59" t="s">
        <v>11</v>
      </c>
      <c r="C59" t="str">
        <f t="shared" si="6"/>
        <v>N.A.</v>
      </c>
      <c r="D59" t="s">
        <v>12</v>
      </c>
      <c r="O59">
        <f>211.5036900369/0.9</f>
        <v>235.00410004099999</v>
      </c>
      <c r="P59">
        <f>184.506666666667/0.9</f>
        <v>205.00740740740778</v>
      </c>
      <c r="Q59">
        <f>149.013384321224/0.9</f>
        <v>165.57042702358223</v>
      </c>
      <c r="R59">
        <f>161.653333333333/0.9</f>
        <v>179.61481481481442</v>
      </c>
      <c r="S59">
        <f>147/0.9</f>
        <v>163.33333333333334</v>
      </c>
      <c r="T59">
        <f>147/0.9</f>
        <v>163.33333333333334</v>
      </c>
    </row>
    <row r="60" spans="1:20">
      <c r="A60" t="str">
        <f>'Population Definitions'!$A$6</f>
        <v>HIV 15-64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 t="str">
        <f t="shared" si="6"/>
        <v>N.A.</v>
      </c>
      <c r="D61" t="s">
        <v>12</v>
      </c>
      <c r="O61">
        <f>68/0.9</f>
        <v>75.555555555555557</v>
      </c>
      <c r="P61">
        <f>61/0.9</f>
        <v>67.777777777777771</v>
      </c>
      <c r="Q61">
        <f>43/0.9</f>
        <v>47.777777777777779</v>
      </c>
      <c r="R61">
        <f>21/0.9</f>
        <v>23.333333333333332</v>
      </c>
      <c r="S61">
        <f>24/0.9</f>
        <v>26.666666666666664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50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 t="str">
        <f t="shared" ref="C65:C71" si="7">IF(SUMPRODUCT(--(E65:T65&lt;&gt;""))=0,0,"N.A.")</f>
        <v>N.A.</v>
      </c>
      <c r="D65" t="s">
        <v>12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</row>
    <row r="66" spans="1:20">
      <c r="A66" t="str">
        <f>'Population Definitions'!$A$3</f>
        <v>Gen 5-14</v>
      </c>
      <c r="B66" t="s">
        <v>11</v>
      </c>
      <c r="C66" t="str">
        <f t="shared" si="7"/>
        <v>N.A.</v>
      </c>
      <c r="D66" t="s">
        <v>12</v>
      </c>
      <c r="O66" s="4">
        <v>0</v>
      </c>
      <c r="P66" s="4">
        <f>3/0.9</f>
        <v>3.333333333333333</v>
      </c>
      <c r="Q66" s="4">
        <v>0</v>
      </c>
      <c r="R66" s="4">
        <v>0</v>
      </c>
      <c r="S66" s="4">
        <v>0</v>
      </c>
      <c r="T66" s="4">
        <v>0</v>
      </c>
    </row>
    <row r="67" spans="1:20">
      <c r="A67" t="str">
        <f>'Population Definitions'!$A$4</f>
        <v>Gen 15-64</v>
      </c>
      <c r="B67" t="s">
        <v>11</v>
      </c>
      <c r="C67" t="str">
        <f t="shared" si="7"/>
        <v>N.A.</v>
      </c>
      <c r="D67" t="s">
        <v>12</v>
      </c>
      <c r="O67" s="4"/>
      <c r="P67" s="4"/>
      <c r="Q67" s="4"/>
      <c r="R67" s="4"/>
      <c r="S67" s="4">
        <f>174/0.9</f>
        <v>193.33333333333331</v>
      </c>
      <c r="T67" s="4">
        <f>166/0.9</f>
        <v>184.44444444444443</v>
      </c>
    </row>
    <row r="68" spans="1:20">
      <c r="A68" t="str">
        <f>'Population Definitions'!$A$5</f>
        <v>Gen 65+</v>
      </c>
      <c r="B68" t="s">
        <v>11</v>
      </c>
      <c r="C68" t="str">
        <f t="shared" si="7"/>
        <v>N.A.</v>
      </c>
      <c r="D68" t="s">
        <v>12</v>
      </c>
      <c r="O68" s="4"/>
      <c r="P68" s="4"/>
      <c r="Q68" s="4"/>
      <c r="R68" s="4"/>
      <c r="S68" s="4">
        <v>0</v>
      </c>
      <c r="T68" s="4">
        <f>6/0.9</f>
        <v>6.6666666666666661</v>
      </c>
    </row>
    <row r="69" spans="1:20">
      <c r="A69" t="str">
        <f>'Population Definitions'!$A$6</f>
        <v>HIV 15-64</v>
      </c>
      <c r="B69" t="s">
        <v>11</v>
      </c>
      <c r="C69">
        <f t="shared" si="7"/>
        <v>0</v>
      </c>
      <c r="D69" t="s">
        <v>12</v>
      </c>
      <c r="O69" s="4"/>
      <c r="P69" s="4"/>
      <c r="Q69" s="4"/>
      <c r="R69" s="4"/>
      <c r="S69" s="4"/>
      <c r="T69" s="4"/>
    </row>
    <row r="70" spans="1:20">
      <c r="A70" t="str">
        <f>'Population Definitions'!$A$7</f>
        <v>Prisoners</v>
      </c>
      <c r="B70" t="s">
        <v>11</v>
      </c>
      <c r="C70" t="str">
        <f t="shared" si="7"/>
        <v>N.A.</v>
      </c>
      <c r="D70" t="s">
        <v>12</v>
      </c>
      <c r="O70" s="4"/>
      <c r="P70" s="4"/>
      <c r="Q70" s="4"/>
      <c r="R70" s="4"/>
      <c r="S70" s="4">
        <f>6/0.9</f>
        <v>6.6666666666666661</v>
      </c>
      <c r="T70" s="4">
        <f>1/0.9</f>
        <v>1.1111111111111112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53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 t="str">
        <f t="shared" ref="C74:C80" si="8">IF(SUMPRODUCT(--(E74:T74&lt;&gt;""))=0,0,"N.A.")</f>
        <v>N.A.</v>
      </c>
      <c r="D74" t="s">
        <v>12</v>
      </c>
      <c r="S74">
        <v>0</v>
      </c>
      <c r="T74">
        <v>0</v>
      </c>
    </row>
    <row r="75" spans="1:20">
      <c r="A75" t="str">
        <f>'Population Definitions'!$A$3</f>
        <v>Gen 5-14</v>
      </c>
      <c r="B75" t="s">
        <v>11</v>
      </c>
      <c r="C75" t="str">
        <f t="shared" si="8"/>
        <v>N.A.</v>
      </c>
      <c r="D75" t="s">
        <v>12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t="str">
        <f>'Population Definitions'!$A$4</f>
        <v>Gen 15-64</v>
      </c>
      <c r="B76" t="s">
        <v>11</v>
      </c>
      <c r="C76" t="str">
        <f t="shared" si="8"/>
        <v>N.A.</v>
      </c>
      <c r="D76" t="s">
        <v>12</v>
      </c>
      <c r="S76">
        <v>0</v>
      </c>
      <c r="T76">
        <v>0</v>
      </c>
    </row>
    <row r="77" spans="1:20">
      <c r="A77" t="str">
        <f>'Population Definitions'!$A$5</f>
        <v>Gen 65+</v>
      </c>
      <c r="B77" t="s">
        <v>11</v>
      </c>
      <c r="C77" t="str">
        <f t="shared" si="8"/>
        <v>N.A.</v>
      </c>
      <c r="D77" t="s">
        <v>12</v>
      </c>
      <c r="S77">
        <v>0</v>
      </c>
      <c r="T77">
        <v>0</v>
      </c>
    </row>
    <row r="78" spans="1:20">
      <c r="A78" t="str">
        <f>'Population Definitions'!$A$6</f>
        <v>HIV 15-64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 t="str">
        <f t="shared" si="8"/>
        <v>N.A.</v>
      </c>
      <c r="D79" t="s">
        <v>12</v>
      </c>
      <c r="S79">
        <v>0</v>
      </c>
      <c r="T79">
        <v>0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B1" workbookViewId="0">
      <selection activeCell="P2" sqref="P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8" si="0">IF(SUMPRODUCT(--(E2:T2&lt;&gt;""))=0,0,"N.A.")</f>
        <v>N.A.</v>
      </c>
      <c r="D2" t="s">
        <v>12</v>
      </c>
      <c r="P2" s="5">
        <f>100/100000</f>
        <v>1E-3</v>
      </c>
      <c r="R2" s="5">
        <f>102/100000</f>
        <v>1.0200000000000001E-3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 s="5">
        <f>100/100000</f>
        <v>1E-3</v>
      </c>
      <c r="R3" s="5">
        <f>102/100000</f>
        <v>1.0200000000000001E-3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 s="5">
        <f>100/100000</f>
        <v>1E-3</v>
      </c>
      <c r="R4" s="5">
        <f>102/100000</f>
        <v>1.0200000000000001E-3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 s="5">
        <f>100/100000</f>
        <v>1E-3</v>
      </c>
      <c r="R5" s="5">
        <f>102/100000</f>
        <v>1.0200000000000001E-3</v>
      </c>
    </row>
    <row r="6" spans="1:20">
      <c r="A6" t="str">
        <f>'Population Definitions'!$A$6</f>
        <v>HIV 15-64</v>
      </c>
      <c r="B6" t="s">
        <v>10</v>
      </c>
      <c r="C6">
        <f t="shared" si="0"/>
        <v>0</v>
      </c>
      <c r="D6" t="s">
        <v>12</v>
      </c>
      <c r="P6" s="5"/>
      <c r="R6" s="6"/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  <c r="P7" s="5"/>
      <c r="R7" s="5"/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 t="str">
        <f t="shared" ref="C11:C17" si="1">IF(SUMPRODUCT(--(E11:T11&lt;&gt;""))=0,0.01,"N.A.")</f>
        <v>N.A.</v>
      </c>
      <c r="D11" t="s">
        <v>12</v>
      </c>
      <c r="P11" s="5">
        <f>70/100000</f>
        <v>6.9999999999999999E-4</v>
      </c>
      <c r="R11" s="5">
        <f>71/100000</f>
        <v>7.1000000000000002E-4</v>
      </c>
    </row>
    <row r="12" spans="1:20">
      <c r="A12" t="str">
        <f>'Population Definitions'!$A$3</f>
        <v>Gen 5-14</v>
      </c>
      <c r="B12" t="s">
        <v>10</v>
      </c>
      <c r="C12" t="str">
        <f t="shared" si="1"/>
        <v>N.A.</v>
      </c>
      <c r="D12" t="s">
        <v>12</v>
      </c>
      <c r="P12" s="5">
        <f>70/100000</f>
        <v>6.9999999999999999E-4</v>
      </c>
      <c r="R12" s="5">
        <f>71/100001</f>
        <v>7.0999290007099929E-4</v>
      </c>
    </row>
    <row r="13" spans="1:20">
      <c r="A13" t="str">
        <f>'Population Definitions'!$A$4</f>
        <v>Gen 15-64</v>
      </c>
      <c r="B13" t="s">
        <v>10</v>
      </c>
      <c r="C13" t="str">
        <f t="shared" si="1"/>
        <v>N.A.</v>
      </c>
      <c r="D13" t="s">
        <v>12</v>
      </c>
      <c r="P13" s="5">
        <f>70/100000</f>
        <v>6.9999999999999999E-4</v>
      </c>
      <c r="R13" s="5">
        <f>71/100000</f>
        <v>7.1000000000000002E-4</v>
      </c>
    </row>
    <row r="14" spans="1:20">
      <c r="A14" t="str">
        <f>'Population Definitions'!$A$5</f>
        <v>Gen 65+</v>
      </c>
      <c r="B14" t="s">
        <v>10</v>
      </c>
      <c r="C14" t="str">
        <f t="shared" si="1"/>
        <v>N.A.</v>
      </c>
      <c r="D14" t="s">
        <v>12</v>
      </c>
      <c r="P14" s="5">
        <f>70/100000</f>
        <v>6.9999999999999999E-4</v>
      </c>
      <c r="R14" s="5">
        <f>71/100000</f>
        <v>7.1000000000000002E-4</v>
      </c>
    </row>
    <row r="15" spans="1:20">
      <c r="A15" t="str">
        <f>'Population Definitions'!$A$6</f>
        <v>HIV 15-64</v>
      </c>
      <c r="B15" t="s">
        <v>10</v>
      </c>
      <c r="C15">
        <f t="shared" si="1"/>
        <v>0.01</v>
      </c>
      <c r="D15" t="s">
        <v>12</v>
      </c>
      <c r="R15" s="4"/>
    </row>
    <row r="16" spans="1:20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>
      <c r="A24" t="str">
        <f>'Population Definitions'!$A$6</f>
        <v>HIV 15-64</v>
      </c>
      <c r="B24" t="s">
        <v>10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>
      <c r="A33" t="str">
        <f>'Population Definitions'!$A$6</f>
        <v>HIV 15-64</v>
      </c>
      <c r="B33" t="s">
        <v>10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>
      <c r="A42" t="str">
        <f>'Population Definitions'!$A$6</f>
        <v>HIV 15-64</v>
      </c>
      <c r="B42" t="s">
        <v>10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10</v>
      </c>
      <c r="C47" t="str">
        <f t="shared" ref="C47:C53" si="5">IF(SUMPRODUCT(--(E47:T47&lt;&gt;""))=0,0,"N.A.")</f>
        <v>N.A.</v>
      </c>
      <c r="D47" t="s">
        <v>12</v>
      </c>
      <c r="P47" s="5">
        <f>30/100000</f>
        <v>2.9999999999999997E-4</v>
      </c>
      <c r="R47" s="5">
        <f>31/100000</f>
        <v>3.1E-4</v>
      </c>
    </row>
    <row r="48" spans="1:20">
      <c r="A48" t="str">
        <f>'Population Definitions'!$A$3</f>
        <v>Gen 5-14</v>
      </c>
      <c r="B48" t="s">
        <v>10</v>
      </c>
      <c r="C48" t="str">
        <f t="shared" si="5"/>
        <v>N.A.</v>
      </c>
      <c r="D48" t="s">
        <v>12</v>
      </c>
      <c r="P48" s="5">
        <f>30/100000</f>
        <v>2.9999999999999997E-4</v>
      </c>
      <c r="R48" s="5">
        <f>31/100000</f>
        <v>3.1E-4</v>
      </c>
    </row>
    <row r="49" spans="1:20">
      <c r="A49" t="str">
        <f>'Population Definitions'!$A$4</f>
        <v>Gen 15-64</v>
      </c>
      <c r="B49" t="s">
        <v>10</v>
      </c>
      <c r="C49" t="str">
        <f t="shared" si="5"/>
        <v>N.A.</v>
      </c>
      <c r="D49" t="s">
        <v>12</v>
      </c>
      <c r="P49" s="5">
        <f>30/100000</f>
        <v>2.9999999999999997E-4</v>
      </c>
      <c r="R49" s="5">
        <f>31/100000</f>
        <v>3.1E-4</v>
      </c>
    </row>
    <row r="50" spans="1:20">
      <c r="A50" t="str">
        <f>'Population Definitions'!$A$5</f>
        <v>Gen 65+</v>
      </c>
      <c r="B50" t="s">
        <v>10</v>
      </c>
      <c r="C50" t="str">
        <f t="shared" si="5"/>
        <v>N.A.</v>
      </c>
      <c r="D50" t="s">
        <v>12</v>
      </c>
      <c r="P50" s="5">
        <f>30/100000</f>
        <v>2.9999999999999997E-4</v>
      </c>
      <c r="R50" s="5">
        <f>31/100000</f>
        <v>3.1E-4</v>
      </c>
    </row>
    <row r="51" spans="1:20">
      <c r="A51" t="str">
        <f>'Population Definitions'!$A$6</f>
        <v>HIV 15-64</v>
      </c>
      <c r="B51" t="s">
        <v>10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>
      <c r="A60" t="str">
        <f>'Population Definitions'!$A$6</f>
        <v>HIV 15-64</v>
      </c>
      <c r="B60" t="s">
        <v>10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>
      <c r="A69" t="str">
        <f>'Population Definitions'!$A$6</f>
        <v>HIV 15-64</v>
      </c>
      <c r="B69" t="s">
        <v>10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>
      <c r="A73" t="s">
        <v>54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>
      <c r="A78" t="str">
        <f>'Population Definitions'!$A$6</f>
        <v>HIV 15-64</v>
      </c>
      <c r="B78" t="s">
        <v>10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94" workbookViewId="0">
      <selection activeCell="E110" sqref="E11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>IF(SUMPRODUCT(--(E3:T3&lt;&gt;""))=0,0.1,"N.A.")</f>
        <v>0.1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ref="C4:C8" si="0">IF(SUMPRODUCT(--(E4:T4&lt;&gt;""))=0,0,"N.A.")</f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HIV 15-64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10</v>
      </c>
      <c r="C11" t="str">
        <f t="shared" ref="C11:C17" si="1">IF(SUMPRODUCT(--(E11:T11&lt;&gt;""))=0,0,"N.A.")</f>
        <v>N.A.</v>
      </c>
      <c r="D11" t="s">
        <v>12</v>
      </c>
      <c r="E11" s="3">
        <v>2.3999999999999998E-3</v>
      </c>
      <c r="F11" s="3">
        <v>2.3999999999999998E-3</v>
      </c>
      <c r="G11" s="3">
        <v>2.5000000000000001E-3</v>
      </c>
      <c r="H11" s="3">
        <v>2.5000000000000001E-3</v>
      </c>
      <c r="I11" s="3">
        <v>2.5000000000000001E-3</v>
      </c>
      <c r="J11" s="3">
        <v>1.8E-3</v>
      </c>
      <c r="K11" s="3">
        <v>1.8E-3</v>
      </c>
      <c r="L11" s="3">
        <v>1.6999999999999999E-3</v>
      </c>
      <c r="M11" s="3">
        <v>1.6999999999999999E-3</v>
      </c>
      <c r="N11" s="3">
        <v>1.6999999999999999E-3</v>
      </c>
      <c r="O11" s="3">
        <v>1.1999999999999999E-3</v>
      </c>
      <c r="P11" s="3">
        <v>1.1999999999999999E-3</v>
      </c>
      <c r="Q11" s="3">
        <v>1.1000000000000001E-3</v>
      </c>
      <c r="R11" s="3">
        <v>1.1000000000000001E-3</v>
      </c>
      <c r="S11" s="3">
        <v>1.1000000000000001E-3</v>
      </c>
      <c r="T11" s="3">
        <v>8.9999999999999998E-4</v>
      </c>
    </row>
    <row r="12" spans="1:20">
      <c r="A12" t="str">
        <f>'Population Definitions'!$A$3</f>
        <v>Gen 5-14</v>
      </c>
      <c r="B12" t="s">
        <v>10</v>
      </c>
      <c r="C12" t="str">
        <f t="shared" si="1"/>
        <v>N.A.</v>
      </c>
      <c r="D12" t="s">
        <v>12</v>
      </c>
      <c r="E12" s="3">
        <v>2.9999999999999997E-4</v>
      </c>
      <c r="F12" s="3">
        <v>2.9999999999999997E-4</v>
      </c>
      <c r="G12" s="3">
        <v>2.9999999999999997E-4</v>
      </c>
      <c r="H12" s="3">
        <v>2.9999999999999997E-4</v>
      </c>
      <c r="I12" s="3">
        <v>2.9999999999999997E-4</v>
      </c>
      <c r="J12" s="3">
        <v>2.0000000000000001E-4</v>
      </c>
      <c r="K12" s="3">
        <v>2.0000000000000001E-4</v>
      </c>
      <c r="L12" s="3">
        <v>2.0000000000000001E-4</v>
      </c>
      <c r="M12" s="3">
        <v>2.0000000000000001E-4</v>
      </c>
      <c r="N12" s="3">
        <v>2.9999999999999997E-4</v>
      </c>
      <c r="O12" s="3">
        <v>2.0000000000000001E-4</v>
      </c>
      <c r="P12" s="3">
        <v>2.0000000000000001E-4</v>
      </c>
      <c r="Q12" s="3">
        <v>2.0000000000000001E-4</v>
      </c>
      <c r="R12" s="3">
        <v>2.0000000000000001E-4</v>
      </c>
      <c r="S12" s="3">
        <v>2.0000000000000001E-4</v>
      </c>
      <c r="T12" s="3">
        <v>2.0000000000000001E-4</v>
      </c>
    </row>
    <row r="13" spans="1:20">
      <c r="A13" t="str">
        <f>'Population Definitions'!$A$4</f>
        <v>Gen 15-64</v>
      </c>
      <c r="B13" t="s">
        <v>10</v>
      </c>
      <c r="C13" t="str">
        <f t="shared" si="1"/>
        <v>N.A.</v>
      </c>
      <c r="D13" t="s">
        <v>12</v>
      </c>
      <c r="E13" s="3">
        <v>7.0000000000000001E-3</v>
      </c>
      <c r="F13" s="3">
        <v>7.0000000000000001E-3</v>
      </c>
      <c r="G13" s="3">
        <v>7.0000000000000001E-3</v>
      </c>
      <c r="H13" s="3">
        <v>7.0000000000000001E-3</v>
      </c>
      <c r="I13" s="3">
        <v>7.0000000000000001E-3</v>
      </c>
      <c r="J13" s="3">
        <v>6.6E-3</v>
      </c>
      <c r="K13" s="3">
        <v>6.6E-3</v>
      </c>
      <c r="L13" s="3">
        <v>6.6E-3</v>
      </c>
      <c r="M13" s="3">
        <v>6.6E-3</v>
      </c>
      <c r="N13" s="3">
        <v>6.6E-3</v>
      </c>
      <c r="O13" s="3">
        <v>6.4999999999999997E-3</v>
      </c>
      <c r="P13" s="3">
        <v>6.6E-3</v>
      </c>
      <c r="Q13" s="3">
        <v>6.6E-3</v>
      </c>
      <c r="R13" s="3">
        <v>6.6E-3</v>
      </c>
      <c r="S13" s="3">
        <v>6.7000000000000002E-3</v>
      </c>
      <c r="T13" s="3">
        <v>6.7999999999999996E-3</v>
      </c>
    </row>
    <row r="14" spans="1:20">
      <c r="A14" t="str">
        <f>'Population Definitions'!$A$5</f>
        <v>Gen 65+</v>
      </c>
      <c r="B14" t="s">
        <v>10</v>
      </c>
      <c r="C14" t="str">
        <f t="shared" si="1"/>
        <v>N.A.</v>
      </c>
      <c r="D14" t="s">
        <v>12</v>
      </c>
      <c r="E14" s="3">
        <v>7.5700000000000003E-2</v>
      </c>
      <c r="F14" s="3">
        <v>7.4499999999999997E-2</v>
      </c>
      <c r="G14" s="3">
        <v>7.3099999999999998E-2</v>
      </c>
      <c r="H14" s="3">
        <v>7.1999999999999995E-2</v>
      </c>
      <c r="I14" s="3">
        <v>7.1400000000000005E-2</v>
      </c>
      <c r="J14" s="3">
        <v>6.9500000000000006E-2</v>
      </c>
      <c r="K14" s="3">
        <v>6.9800000000000001E-2</v>
      </c>
      <c r="L14" s="3">
        <v>7.0800000000000002E-2</v>
      </c>
      <c r="M14" s="3">
        <v>7.2099999999999997E-2</v>
      </c>
      <c r="N14" s="3">
        <v>7.3400000000000007E-2</v>
      </c>
      <c r="O14" s="3">
        <v>6.6900000000000001E-2</v>
      </c>
      <c r="P14" s="3">
        <v>6.6799999999999998E-2</v>
      </c>
      <c r="Q14" s="3">
        <v>6.6699999999999995E-2</v>
      </c>
      <c r="R14" s="3">
        <v>6.6699999999999995E-2</v>
      </c>
      <c r="S14" s="3">
        <v>6.6799999999999998E-2</v>
      </c>
      <c r="T14" s="3">
        <v>6.9000000000000006E-2</v>
      </c>
    </row>
    <row r="15" spans="1:20">
      <c r="A15" t="str">
        <f>'Population Definitions'!$A$6</f>
        <v>HIV 15-64</v>
      </c>
      <c r="B15" t="s">
        <v>10</v>
      </c>
      <c r="C15">
        <f t="shared" si="1"/>
        <v>0</v>
      </c>
      <c r="D15" t="s"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t="str">
        <f>'Population Definitions'!$A$7</f>
        <v>Prisoners</v>
      </c>
      <c r="B16" t="s">
        <v>10</v>
      </c>
      <c r="C16" t="str">
        <f t="shared" si="1"/>
        <v>N.A.</v>
      </c>
      <c r="D16" t="s">
        <v>12</v>
      </c>
      <c r="E16" s="3">
        <v>1.4E-2</v>
      </c>
      <c r="F16" s="3">
        <v>1.4E-2</v>
      </c>
      <c r="G16" s="3">
        <v>1.4E-2</v>
      </c>
      <c r="H16" s="3">
        <v>1.4E-2</v>
      </c>
      <c r="I16" s="3">
        <v>1.4E-2</v>
      </c>
      <c r="J16" s="3">
        <v>1.3100000000000001E-2</v>
      </c>
      <c r="K16" s="3">
        <v>1.32E-2</v>
      </c>
      <c r="L16" s="3">
        <v>1.32E-2</v>
      </c>
      <c r="M16" s="3">
        <v>1.32E-2</v>
      </c>
      <c r="N16" s="3">
        <v>1.32E-2</v>
      </c>
      <c r="O16" s="3">
        <v>1.3100000000000001E-2</v>
      </c>
      <c r="P16" s="3">
        <v>1.3100000000000001E-2</v>
      </c>
      <c r="Q16" s="3">
        <v>1.32E-2</v>
      </c>
      <c r="R16" s="3">
        <v>1.3299999999999999E-2</v>
      </c>
      <c r="S16" s="3">
        <v>1.34E-2</v>
      </c>
      <c r="T16" s="3">
        <v>1.35E-2</v>
      </c>
    </row>
    <row r="17" spans="1:20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11</v>
      </c>
      <c r="C20" t="str">
        <f t="shared" ref="C20:C26" si="2">IF(SUMPRODUCT(--(E20:T20&lt;&gt;""))=0,0,"N.A.")</f>
        <v>N.A.</v>
      </c>
      <c r="D20" t="s">
        <v>12</v>
      </c>
      <c r="J20">
        <v>1</v>
      </c>
      <c r="M20">
        <v>1</v>
      </c>
    </row>
    <row r="21" spans="1:20">
      <c r="A21" t="str">
        <f>'Population Definitions'!$A$3</f>
        <v>Gen 5-14</v>
      </c>
      <c r="B21" t="s">
        <v>11</v>
      </c>
      <c r="C21" t="str">
        <f t="shared" si="2"/>
        <v>N.A.</v>
      </c>
      <c r="D21" t="s">
        <v>12</v>
      </c>
      <c r="K21">
        <v>1</v>
      </c>
      <c r="O21">
        <v>1</v>
      </c>
    </row>
    <row r="22" spans="1:20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E22">
        <v>595</v>
      </c>
      <c r="F22">
        <v>700</v>
      </c>
      <c r="G22">
        <v>626</v>
      </c>
      <c r="H22">
        <v>911</v>
      </c>
      <c r="I22">
        <v>955</v>
      </c>
      <c r="J22">
        <v>1071</v>
      </c>
      <c r="K22">
        <v>888</v>
      </c>
      <c r="L22">
        <v>801</v>
      </c>
      <c r="M22">
        <v>733</v>
      </c>
      <c r="N22">
        <v>658</v>
      </c>
      <c r="O22">
        <v>696</v>
      </c>
      <c r="P22">
        <v>667</v>
      </c>
      <c r="Q22">
        <v>577</v>
      </c>
      <c r="R22">
        <v>481</v>
      </c>
      <c r="S22">
        <v>392</v>
      </c>
      <c r="T22">
        <v>348</v>
      </c>
    </row>
    <row r="23" spans="1:20">
      <c r="A23" t="str">
        <f>'Population Definitions'!$A$5</f>
        <v>Gen 65+</v>
      </c>
      <c r="B23" t="s">
        <v>11</v>
      </c>
      <c r="C23" t="str">
        <f t="shared" si="2"/>
        <v>N.A.</v>
      </c>
      <c r="D23" t="s">
        <v>12</v>
      </c>
      <c r="E23">
        <v>131</v>
      </c>
      <c r="F23">
        <v>127</v>
      </c>
      <c r="G23">
        <v>128</v>
      </c>
      <c r="H23">
        <v>112</v>
      </c>
      <c r="I23">
        <v>132</v>
      </c>
      <c r="J23">
        <v>114</v>
      </c>
      <c r="K23">
        <v>88</v>
      </c>
      <c r="L23">
        <v>97</v>
      </c>
      <c r="M23">
        <v>97</v>
      </c>
      <c r="N23">
        <v>106</v>
      </c>
      <c r="O23">
        <v>79</v>
      </c>
      <c r="P23">
        <v>70</v>
      </c>
      <c r="Q23">
        <v>72</v>
      </c>
      <c r="R23">
        <v>66</v>
      </c>
      <c r="S23">
        <v>53</v>
      </c>
      <c r="T23">
        <v>36</v>
      </c>
    </row>
    <row r="24" spans="1:20">
      <c r="A24" t="str">
        <f>'Population Definitions'!$A$6</f>
        <v>HIV 15-64</v>
      </c>
      <c r="B24" t="s">
        <v>11</v>
      </c>
      <c r="C24">
        <f t="shared" si="2"/>
        <v>0</v>
      </c>
      <c r="D24" t="s">
        <v>12</v>
      </c>
    </row>
    <row r="25" spans="1:20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>
      <c r="A33" t="str">
        <f>'Population Definitions'!$A$6</f>
        <v>HIV 15-64</v>
      </c>
      <c r="B33" t="s">
        <v>11</v>
      </c>
      <c r="C33">
        <f t="shared" si="3"/>
        <v>0</v>
      </c>
      <c r="D33" t="s">
        <v>12</v>
      </c>
    </row>
    <row r="34" spans="1:20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>
      <c r="A42" t="str">
        <f>'Population Definitions'!$A$6</f>
        <v>HIV 15-64</v>
      </c>
      <c r="B42" t="s">
        <v>11</v>
      </c>
      <c r="C42">
        <f t="shared" si="4"/>
        <v>0</v>
      </c>
      <c r="D42" t="s">
        <v>12</v>
      </c>
    </row>
    <row r="43" spans="1:20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>
      <c r="A51" t="str">
        <f>'Population Definitions'!$A$6</f>
        <v>HIV 15-64</v>
      </c>
      <c r="B51" t="s">
        <v>11</v>
      </c>
      <c r="C51">
        <f t="shared" si="5"/>
        <v>0</v>
      </c>
      <c r="D51" t="s">
        <v>12</v>
      </c>
    </row>
    <row r="52" spans="1:20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>
      <c r="A55" t="s">
        <v>145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>
      <c r="A60" t="str">
        <f>'Population Definitions'!$A$6</f>
        <v>HIV 15-64</v>
      </c>
      <c r="B60" t="s">
        <v>11</v>
      </c>
      <c r="C60">
        <f t="shared" si="6"/>
        <v>0</v>
      </c>
      <c r="D60" t="s">
        <v>12</v>
      </c>
    </row>
    <row r="61" spans="1:20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>
      <c r="A64" t="s">
        <v>144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>
      <c r="A69" t="str">
        <f>'Population Definitions'!$A$6</f>
        <v>HIV 15-64</v>
      </c>
      <c r="B69" t="s">
        <v>11</v>
      </c>
      <c r="C69">
        <f t="shared" si="7"/>
        <v>0</v>
      </c>
      <c r="D69" t="s">
        <v>12</v>
      </c>
    </row>
    <row r="70" spans="1:20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>
      <c r="A73" t="s">
        <v>143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>
      <c r="A78" t="str">
        <f>'Population Definitions'!$A$6</f>
        <v>HIV 15-64</v>
      </c>
      <c r="B78" t="s">
        <v>11</v>
      </c>
      <c r="C78">
        <f t="shared" si="8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>
      <c r="A82" t="s">
        <v>142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>
      <c r="A87" t="str">
        <f>'Population Definitions'!$A$6</f>
        <v>HIV 15-64</v>
      </c>
      <c r="B87" t="s">
        <v>11</v>
      </c>
      <c r="C87">
        <f t="shared" si="9"/>
        <v>0</v>
      </c>
      <c r="D87" t="s">
        <v>12</v>
      </c>
    </row>
    <row r="88" spans="1:20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>
      <c r="A91" t="s">
        <v>141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>
      <c r="A96" t="str">
        <f>'Population Definitions'!$A$6</f>
        <v>HIV 15-64</v>
      </c>
      <c r="B96" t="s">
        <v>11</v>
      </c>
      <c r="C96">
        <f t="shared" si="10"/>
        <v>0</v>
      </c>
      <c r="D96" t="s">
        <v>12</v>
      </c>
    </row>
    <row r="97" spans="1:20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0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0">
      <c r="A100" t="s">
        <v>140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0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0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0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0">
      <c r="A105" t="str">
        <f>'Population Definitions'!$A$6</f>
        <v>HIV 15-64</v>
      </c>
      <c r="B105" t="s">
        <v>11</v>
      </c>
      <c r="C105">
        <f t="shared" si="11"/>
        <v>0</v>
      </c>
      <c r="D105" t="s">
        <v>12</v>
      </c>
    </row>
    <row r="106" spans="1:20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0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0">
      <c r="A109" t="s">
        <v>56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Gen 0-4</v>
      </c>
      <c r="B110" t="s">
        <v>11</v>
      </c>
      <c r="C110" t="s">
        <v>147</v>
      </c>
      <c r="D110" t="s">
        <v>12</v>
      </c>
      <c r="E110">
        <v>90068.800000000003</v>
      </c>
      <c r="F110">
        <v>90068.800000000003</v>
      </c>
      <c r="G110">
        <v>90068.800000000003</v>
      </c>
      <c r="H110">
        <v>90068.800000000003</v>
      </c>
      <c r="I110">
        <v>90068.800000000003</v>
      </c>
      <c r="J110">
        <v>102352.40000000001</v>
      </c>
      <c r="K110">
        <v>102352.40000000001</v>
      </c>
      <c r="L110">
        <v>102352.40000000001</v>
      </c>
      <c r="M110">
        <v>102352.40000000001</v>
      </c>
      <c r="N110">
        <v>102352.40000000001</v>
      </c>
      <c r="O110">
        <v>111124.59999999999</v>
      </c>
      <c r="P110">
        <v>111124.59999999999</v>
      </c>
      <c r="Q110">
        <v>111124.59999999999</v>
      </c>
      <c r="R110">
        <v>111124.59999999999</v>
      </c>
      <c r="S110">
        <v>111124.59999999999</v>
      </c>
      <c r="T110">
        <v>109426.4</v>
      </c>
    </row>
    <row r="111" spans="1:20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0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>
      <c r="A114" t="str">
        <f>'Population Definitions'!$A$6</f>
        <v>HIV 15-64</v>
      </c>
      <c r="B114" t="s">
        <v>11</v>
      </c>
      <c r="C114">
        <v>0</v>
      </c>
      <c r="D114" t="s">
        <v>12</v>
      </c>
    </row>
    <row r="115" spans="1:4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C25" sqref="C25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77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76</v>
      </c>
      <c r="C2">
        <f t="shared" ref="C2:C8" si="0">IF(SUMPRODUCT(--(E2:T2&lt;&gt;""))=0,2,"N.A.")</f>
        <v>2</v>
      </c>
      <c r="D2" t="s">
        <v>12</v>
      </c>
    </row>
    <row r="3" spans="1:20">
      <c r="A3" t="str">
        <f>'Population Definitions'!$A$3</f>
        <v>Gen 5-14</v>
      </c>
      <c r="B3" t="s">
        <v>76</v>
      </c>
      <c r="C3">
        <f t="shared" si="0"/>
        <v>2</v>
      </c>
      <c r="D3" t="s">
        <v>12</v>
      </c>
    </row>
    <row r="4" spans="1:20">
      <c r="A4" t="str">
        <f>'Population Definitions'!$A$4</f>
        <v>Gen 15-64</v>
      </c>
      <c r="B4" t="s">
        <v>76</v>
      </c>
      <c r="C4">
        <f t="shared" si="0"/>
        <v>2</v>
      </c>
      <c r="D4" t="s">
        <v>12</v>
      </c>
    </row>
    <row r="5" spans="1:20">
      <c r="A5" t="str">
        <f>'Population Definitions'!$A$5</f>
        <v>Gen 65+</v>
      </c>
      <c r="B5" t="s">
        <v>76</v>
      </c>
      <c r="C5">
        <f t="shared" si="0"/>
        <v>2</v>
      </c>
      <c r="D5" t="s">
        <v>12</v>
      </c>
    </row>
    <row r="6" spans="1:20">
      <c r="A6" t="str">
        <f>'Population Definitions'!$A$6</f>
        <v>HIV 15-64</v>
      </c>
      <c r="B6" t="s">
        <v>76</v>
      </c>
      <c r="C6">
        <f t="shared" si="0"/>
        <v>2</v>
      </c>
      <c r="D6" t="s">
        <v>12</v>
      </c>
    </row>
    <row r="7" spans="1:20">
      <c r="A7" t="str">
        <f>'Population Definitions'!$A$7</f>
        <v>Prisoners</v>
      </c>
      <c r="B7" t="s">
        <v>76</v>
      </c>
      <c r="C7">
        <f t="shared" si="0"/>
        <v>2</v>
      </c>
      <c r="D7" t="s">
        <v>12</v>
      </c>
    </row>
    <row r="8" spans="1:20">
      <c r="A8" t="str">
        <f>'Population Definitions'!$A$8</f>
        <v>Population 7</v>
      </c>
      <c r="B8" t="s">
        <v>76</v>
      </c>
      <c r="C8">
        <f t="shared" si="0"/>
        <v>2</v>
      </c>
      <c r="D8" t="s">
        <v>12</v>
      </c>
    </row>
    <row r="10" spans="1:20">
      <c r="A10" t="s">
        <v>78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Gen 0-4</v>
      </c>
      <c r="B11" t="s">
        <v>76</v>
      </c>
      <c r="C11">
        <f t="shared" ref="C11:C17" si="1">IF(SUMPRODUCT(--(E11:T11&lt;&gt;""))=0,1,"N.A.")</f>
        <v>1</v>
      </c>
      <c r="D11" t="s">
        <v>12</v>
      </c>
    </row>
    <row r="12" spans="1:20">
      <c r="A12" t="str">
        <f>'Population Definitions'!$A$3</f>
        <v>Gen 5-14</v>
      </c>
      <c r="B12" t="s">
        <v>76</v>
      </c>
      <c r="C12">
        <f t="shared" si="1"/>
        <v>1</v>
      </c>
      <c r="D12" t="s">
        <v>12</v>
      </c>
    </row>
    <row r="13" spans="1:20">
      <c r="A13" t="str">
        <f>'Population Definitions'!$A$4</f>
        <v>Gen 15-64</v>
      </c>
      <c r="B13" t="s">
        <v>76</v>
      </c>
      <c r="C13">
        <f t="shared" si="1"/>
        <v>1</v>
      </c>
      <c r="D13" t="s">
        <v>12</v>
      </c>
    </row>
    <row r="14" spans="1:20">
      <c r="A14" t="str">
        <f>'Population Definitions'!$A$5</f>
        <v>Gen 65+</v>
      </c>
      <c r="B14" t="s">
        <v>76</v>
      </c>
      <c r="C14">
        <f t="shared" si="1"/>
        <v>1</v>
      </c>
      <c r="D14" t="s">
        <v>12</v>
      </c>
    </row>
    <row r="15" spans="1:20">
      <c r="A15" t="str">
        <f>'Population Definitions'!$A$6</f>
        <v>HIV 15-64</v>
      </c>
      <c r="B15" t="s">
        <v>76</v>
      </c>
      <c r="C15">
        <f t="shared" si="1"/>
        <v>1</v>
      </c>
      <c r="D15" t="s">
        <v>12</v>
      </c>
    </row>
    <row r="16" spans="1:20">
      <c r="A16" t="str">
        <f>'Population Definitions'!$A$7</f>
        <v>Prisoners</v>
      </c>
      <c r="B16" t="s">
        <v>76</v>
      </c>
      <c r="C16">
        <f t="shared" si="1"/>
        <v>1</v>
      </c>
      <c r="D16" t="s">
        <v>12</v>
      </c>
    </row>
    <row r="17" spans="1:20">
      <c r="A17" t="str">
        <f>'Population Definitions'!$A$8</f>
        <v>Population 7</v>
      </c>
      <c r="B17" t="s">
        <v>76</v>
      </c>
      <c r="C17">
        <f t="shared" si="1"/>
        <v>1</v>
      </c>
      <c r="D17" t="s">
        <v>12</v>
      </c>
    </row>
    <row r="19" spans="1:20">
      <c r="A19" t="s">
        <v>79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Gen 0-4</v>
      </c>
      <c r="B20" t="s">
        <v>76</v>
      </c>
      <c r="C20">
        <f t="shared" ref="C20:C26" si="2">IF(SUMPRODUCT(--(E20:T20&lt;&gt;""))=0,3,"N.A.")</f>
        <v>3</v>
      </c>
      <c r="D20" t="s">
        <v>12</v>
      </c>
    </row>
    <row r="21" spans="1:20">
      <c r="A21" t="str">
        <f>'Population Definitions'!$A$3</f>
        <v>Gen 5-14</v>
      </c>
      <c r="B21" t="s">
        <v>76</v>
      </c>
      <c r="C21">
        <f t="shared" si="2"/>
        <v>3</v>
      </c>
      <c r="D21" t="s">
        <v>12</v>
      </c>
    </row>
    <row r="22" spans="1:20">
      <c r="A22" t="str">
        <f>'Population Definitions'!$A$4</f>
        <v>Gen 15-64</v>
      </c>
      <c r="B22" t="s">
        <v>76</v>
      </c>
      <c r="C22">
        <f t="shared" si="2"/>
        <v>3</v>
      </c>
      <c r="D22" t="s">
        <v>12</v>
      </c>
    </row>
    <row r="23" spans="1:20">
      <c r="A23" t="str">
        <f>'Population Definitions'!$A$5</f>
        <v>Gen 65+</v>
      </c>
      <c r="B23" t="s">
        <v>76</v>
      </c>
      <c r="C23">
        <f t="shared" si="2"/>
        <v>3</v>
      </c>
      <c r="D23" t="s">
        <v>12</v>
      </c>
    </row>
    <row r="24" spans="1:20">
      <c r="A24" t="str">
        <f>'Population Definitions'!$A$6</f>
        <v>HIV 15-64</v>
      </c>
      <c r="B24" t="s">
        <v>76</v>
      </c>
      <c r="C24">
        <f t="shared" si="2"/>
        <v>3</v>
      </c>
      <c r="D24" t="s">
        <v>12</v>
      </c>
    </row>
    <row r="25" spans="1:20">
      <c r="A25" t="str">
        <f>'Population Definitions'!$A$7</f>
        <v>Prisoners</v>
      </c>
      <c r="B25" t="s">
        <v>76</v>
      </c>
      <c r="C25">
        <f t="shared" si="2"/>
        <v>3</v>
      </c>
      <c r="D25" t="s">
        <v>12</v>
      </c>
    </row>
    <row r="26" spans="1:20">
      <c r="A26" t="str">
        <f>'Population Definitions'!$A$8</f>
        <v>Population 7</v>
      </c>
      <c r="B26" t="s">
        <v>76</v>
      </c>
      <c r="C26">
        <f t="shared" si="2"/>
        <v>3</v>
      </c>
      <c r="D26" t="s">
        <v>12</v>
      </c>
    </row>
    <row r="28" spans="1:20">
      <c r="A28" t="s">
        <v>80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Gen 0-4</v>
      </c>
      <c r="B29" t="s">
        <v>76</v>
      </c>
      <c r="C29">
        <v>0</v>
      </c>
      <c r="D29" t="s">
        <v>12</v>
      </c>
    </row>
    <row r="30" spans="1:20">
      <c r="A30" t="str">
        <f>'Population Definitions'!$A$3</f>
        <v>Gen 5-14</v>
      </c>
      <c r="B30" t="s">
        <v>76</v>
      </c>
      <c r="C30">
        <v>0</v>
      </c>
      <c r="D30" t="s">
        <v>12</v>
      </c>
    </row>
    <row r="31" spans="1:20">
      <c r="A31" t="str">
        <f>'Population Definitions'!$A$4</f>
        <v>Gen 15-64</v>
      </c>
      <c r="B31" t="s">
        <v>76</v>
      </c>
      <c r="C31">
        <v>0</v>
      </c>
      <c r="D31" t="s">
        <v>12</v>
      </c>
    </row>
    <row r="32" spans="1:20">
      <c r="A32" t="str">
        <f>'Population Definitions'!$A$5</f>
        <v>Gen 65+</v>
      </c>
      <c r="B32" t="s">
        <v>76</v>
      </c>
      <c r="C32">
        <v>0</v>
      </c>
      <c r="D32" t="s">
        <v>12</v>
      </c>
    </row>
    <row r="33" spans="1:20">
      <c r="A33" t="str">
        <f>'Population Definitions'!$A$6</f>
        <v>HIV 15-64</v>
      </c>
      <c r="B33" t="s">
        <v>76</v>
      </c>
      <c r="C33">
        <v>0</v>
      </c>
      <c r="D33" t="s">
        <v>12</v>
      </c>
    </row>
    <row r="34" spans="1:20">
      <c r="A34" t="str">
        <f>'Population Definitions'!$A$7</f>
        <v>Prisoners</v>
      </c>
      <c r="B34" t="s">
        <v>76</v>
      </c>
      <c r="C34">
        <v>0</v>
      </c>
      <c r="D34" t="s">
        <v>12</v>
      </c>
    </row>
    <row r="35" spans="1:20">
      <c r="A35" t="str">
        <f>'Population Definitions'!$A$8</f>
        <v>Population 7</v>
      </c>
      <c r="B35" t="s">
        <v>76</v>
      </c>
      <c r="C35">
        <v>0</v>
      </c>
      <c r="D35" t="s">
        <v>12</v>
      </c>
    </row>
    <row r="37" spans="1:20">
      <c r="A37" t="s">
        <v>81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Gen 0-4</v>
      </c>
      <c r="B38" t="s">
        <v>76</v>
      </c>
      <c r="C38">
        <v>0</v>
      </c>
      <c r="D38" t="s">
        <v>12</v>
      </c>
    </row>
    <row r="39" spans="1:20">
      <c r="A39" t="str">
        <f>'Population Definitions'!$A$3</f>
        <v>Gen 5-14</v>
      </c>
      <c r="B39" t="s">
        <v>76</v>
      </c>
      <c r="C39">
        <v>0</v>
      </c>
      <c r="D39" t="s">
        <v>12</v>
      </c>
    </row>
    <row r="40" spans="1:20">
      <c r="A40" t="str">
        <f>'Population Definitions'!$A$4</f>
        <v>Gen 15-64</v>
      </c>
      <c r="B40" t="s">
        <v>76</v>
      </c>
      <c r="C40">
        <v>0</v>
      </c>
      <c r="D40" t="s">
        <v>12</v>
      </c>
    </row>
    <row r="41" spans="1:20">
      <c r="A41" t="str">
        <f>'Population Definitions'!$A$5</f>
        <v>Gen 65+</v>
      </c>
      <c r="B41" t="s">
        <v>76</v>
      </c>
      <c r="C41">
        <v>0</v>
      </c>
      <c r="D41" t="s">
        <v>12</v>
      </c>
    </row>
    <row r="42" spans="1:20">
      <c r="A42" t="str">
        <f>'Population Definitions'!$A$6</f>
        <v>HIV 15-64</v>
      </c>
      <c r="B42" t="s">
        <v>76</v>
      </c>
      <c r="C42">
        <v>0</v>
      </c>
      <c r="D42" t="s">
        <v>12</v>
      </c>
    </row>
    <row r="43" spans="1:20">
      <c r="A43" t="str">
        <f>'Population Definitions'!$A$7</f>
        <v>Prisoners</v>
      </c>
      <c r="B43" t="s">
        <v>76</v>
      </c>
      <c r="C43">
        <v>0</v>
      </c>
      <c r="D43" t="s">
        <v>12</v>
      </c>
    </row>
    <row r="44" spans="1:20">
      <c r="A44" t="str">
        <f>'Population Definitions'!$A$8</f>
        <v>Population 7</v>
      </c>
      <c r="B44" t="s">
        <v>76</v>
      </c>
      <c r="C44">
        <v>0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2016-11-29T13:51:41Z</dcterms:created>
  <dcterms:modified xsi:type="dcterms:W3CDTF">2016-12-02T16:43:00Z</dcterms:modified>
</cp:coreProperties>
</file>