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8" windowWidth="16098" windowHeight="9660" tabRatio="974" activeTab="5"/>
  </bookViews>
  <sheets>
    <sheet name="Population Definitions" sheetId="1" r:id="rId1"/>
    <sheet name="Population Contacts" sheetId="2" r:id="rId2"/>
    <sheet name="Transfer Definitions" sheetId="3" r:id="rId3"/>
    <sheet name="Transfer Details" sheetId="4" r:id="rId4"/>
    <sheet name="Program Definitions" sheetId="8" r:id="rId5"/>
    <sheet name="Program Details" sheetId="9" r:id="rId6"/>
    <sheet name="General Demographics" sheetId="5" r:id="rId7"/>
    <sheet name="Epidemic Characteristics" sheetId="6" r:id="rId8"/>
    <sheet name="Prevalence" sheetId="7" r:id="rId9"/>
  </sheets>
  <calcPr calcId="145621"/>
</workbook>
</file>

<file path=xl/calcChain.xml><?xml version="1.0" encoding="utf-8"?>
<calcChain xmlns="http://schemas.openxmlformats.org/spreadsheetml/2006/main">
  <c r="D32" i="9" l="1"/>
  <c r="D33" i="9"/>
  <c r="D24" i="9"/>
  <c r="F22" i="9"/>
  <c r="D17" i="9"/>
  <c r="U15" i="9"/>
  <c r="P7" i="9"/>
  <c r="D23" i="9"/>
  <c r="S13" i="9"/>
  <c r="S12" i="9"/>
  <c r="U3" i="9"/>
  <c r="P3" i="9" s="1"/>
  <c r="P4" i="9" s="1"/>
  <c r="D5" i="9"/>
  <c r="U4" i="9" l="1"/>
  <c r="D16" i="9"/>
  <c r="D14" i="9"/>
  <c r="D15" i="9"/>
  <c r="U31" i="9"/>
  <c r="D8" i="9" l="1"/>
  <c r="A19" i="9"/>
  <c r="A28" i="9"/>
  <c r="A10" i="9"/>
  <c r="A1" i="9"/>
  <c r="B35" i="9"/>
  <c r="E35" i="9" s="1"/>
  <c r="B34" i="9"/>
  <c r="E34" i="9" s="1"/>
  <c r="B33" i="9"/>
  <c r="E33" i="9" s="1"/>
  <c r="C32" i="9"/>
  <c r="B32" i="9"/>
  <c r="D31" i="9"/>
  <c r="D30" i="9"/>
  <c r="B26" i="9"/>
  <c r="E26" i="9" s="1"/>
  <c r="B25" i="9"/>
  <c r="E25" i="9" s="1"/>
  <c r="B24" i="9"/>
  <c r="E24" i="9" s="1"/>
  <c r="C23" i="9"/>
  <c r="B23" i="9"/>
  <c r="D22" i="9"/>
  <c r="D21" i="9"/>
  <c r="B17" i="9"/>
  <c r="E17" i="9" s="1"/>
  <c r="B16" i="9"/>
  <c r="E16" i="9" s="1"/>
  <c r="B15" i="9"/>
  <c r="E15" i="9" s="1"/>
  <c r="C14" i="9"/>
  <c r="B14" i="9"/>
  <c r="D13" i="9"/>
  <c r="D12" i="9"/>
  <c r="B8" i="9"/>
  <c r="E8" i="9" s="1"/>
  <c r="B7" i="9"/>
  <c r="E7" i="9" s="1"/>
  <c r="B6" i="9"/>
  <c r="E6" i="9" s="1"/>
  <c r="C5" i="9"/>
  <c r="B5" i="9"/>
  <c r="F1" i="8"/>
  <c r="E1" i="8"/>
  <c r="D1" i="8"/>
  <c r="C1" i="8"/>
  <c r="D6" i="9" l="1"/>
  <c r="C6" i="9"/>
  <c r="C8" i="9"/>
  <c r="C26" i="9"/>
  <c r="C24" i="9"/>
  <c r="C7" i="9"/>
  <c r="C25" i="9"/>
  <c r="D26" i="9"/>
  <c r="D7" i="9"/>
  <c r="D25" i="9"/>
  <c r="C15" i="9"/>
  <c r="C16" i="9"/>
  <c r="C17" i="9"/>
  <c r="C33" i="9"/>
  <c r="C34" i="9"/>
  <c r="C35" i="9"/>
  <c r="D34" i="9"/>
  <c r="D35" i="9"/>
  <c r="C3" i="7"/>
  <c r="C14" i="5" l="1"/>
  <c r="C53" i="6" l="1"/>
  <c r="C52" i="6"/>
  <c r="C51" i="6"/>
  <c r="C50" i="6"/>
  <c r="C47" i="6"/>
  <c r="C46" i="6"/>
  <c r="C45" i="6"/>
  <c r="C44" i="6"/>
  <c r="C41" i="6"/>
  <c r="C40" i="6"/>
  <c r="C39" i="6"/>
  <c r="C38" i="6"/>
  <c r="C35" i="6"/>
  <c r="C34" i="6"/>
  <c r="C33" i="6"/>
  <c r="C32" i="6"/>
  <c r="C29" i="6"/>
  <c r="C28" i="6"/>
  <c r="C27" i="6"/>
  <c r="C26" i="6"/>
  <c r="C23" i="6"/>
  <c r="C22" i="6"/>
  <c r="C21" i="6"/>
  <c r="C20" i="6"/>
  <c r="C17" i="6"/>
  <c r="C16" i="6"/>
  <c r="C15" i="6"/>
  <c r="C14" i="6"/>
  <c r="C11" i="6"/>
  <c r="C10" i="6"/>
  <c r="C9" i="6"/>
  <c r="C8" i="6"/>
  <c r="C5" i="6"/>
  <c r="C4" i="6"/>
  <c r="C3" i="6"/>
  <c r="C2" i="6"/>
  <c r="C29" i="5"/>
  <c r="C28" i="5"/>
  <c r="C27" i="5"/>
  <c r="C26" i="5"/>
  <c r="C20" i="5"/>
  <c r="C3" i="5"/>
  <c r="C2" i="5"/>
  <c r="E41" i="4"/>
  <c r="E21" i="4"/>
  <c r="C35" i="7"/>
  <c r="A35" i="7"/>
  <c r="C34" i="7"/>
  <c r="A34" i="7"/>
  <c r="C33" i="7"/>
  <c r="A33" i="7"/>
  <c r="C32" i="7"/>
  <c r="A32" i="7"/>
  <c r="C29" i="7"/>
  <c r="A29" i="7"/>
  <c r="C28" i="7"/>
  <c r="A28" i="7"/>
  <c r="C27" i="7"/>
  <c r="A27" i="7"/>
  <c r="C26" i="7"/>
  <c r="A26" i="7"/>
  <c r="C23" i="7"/>
  <c r="A23" i="7"/>
  <c r="C22" i="7"/>
  <c r="A22" i="7"/>
  <c r="C21" i="7"/>
  <c r="A21" i="7"/>
  <c r="C20" i="7"/>
  <c r="A20" i="7"/>
  <c r="C17" i="7"/>
  <c r="A17" i="7"/>
  <c r="C16" i="7"/>
  <c r="A16" i="7"/>
  <c r="C15" i="7"/>
  <c r="A15" i="7"/>
  <c r="C14" i="7"/>
  <c r="A14" i="7"/>
  <c r="C11" i="7"/>
  <c r="A11" i="7"/>
  <c r="C10" i="7"/>
  <c r="A10" i="7"/>
  <c r="C9" i="7"/>
  <c r="A9" i="7"/>
  <c r="C8" i="7"/>
  <c r="A8" i="7"/>
  <c r="C5" i="7"/>
  <c r="A5" i="7"/>
  <c r="C4" i="7"/>
  <c r="A4" i="7"/>
  <c r="A3" i="7"/>
  <c r="C2" i="7"/>
  <c r="A2" i="7"/>
  <c r="A53" i="6"/>
  <c r="A52" i="6"/>
  <c r="A51" i="6"/>
  <c r="A50" i="6"/>
  <c r="A47" i="6"/>
  <c r="A46" i="6"/>
  <c r="A45" i="6"/>
  <c r="A44" i="6"/>
  <c r="A41" i="6"/>
  <c r="A40" i="6"/>
  <c r="A39" i="6"/>
  <c r="A38" i="6"/>
  <c r="A35" i="6"/>
  <c r="A34" i="6"/>
  <c r="A33" i="6"/>
  <c r="A32" i="6"/>
  <c r="A29" i="6"/>
  <c r="A28" i="6"/>
  <c r="A27" i="6"/>
  <c r="A26" i="6"/>
  <c r="A23" i="6"/>
  <c r="A22" i="6"/>
  <c r="A21" i="6"/>
  <c r="A20" i="6"/>
  <c r="A17" i="6"/>
  <c r="A16" i="6"/>
  <c r="A15" i="6"/>
  <c r="A14" i="6"/>
  <c r="A11" i="6"/>
  <c r="A10" i="6"/>
  <c r="A9" i="6"/>
  <c r="A8" i="6"/>
  <c r="A5" i="6"/>
  <c r="A4" i="6"/>
  <c r="A3" i="6"/>
  <c r="A2" i="6"/>
  <c r="A29" i="5"/>
  <c r="A28" i="5"/>
  <c r="A27" i="5"/>
  <c r="A26" i="5"/>
  <c r="C23" i="5"/>
  <c r="A23" i="5"/>
  <c r="C22" i="5"/>
  <c r="A22" i="5"/>
  <c r="C21" i="5"/>
  <c r="A21" i="5"/>
  <c r="A20" i="5"/>
  <c r="C17" i="5"/>
  <c r="A17" i="5"/>
  <c r="C16" i="5"/>
  <c r="A16" i="5"/>
  <c r="C15" i="5"/>
  <c r="A15" i="5"/>
  <c r="A14" i="5"/>
  <c r="C11" i="5"/>
  <c r="A11" i="5"/>
  <c r="C10" i="5"/>
  <c r="A10" i="5"/>
  <c r="C9" i="5"/>
  <c r="A9" i="5"/>
  <c r="C8" i="5"/>
  <c r="A8" i="5"/>
  <c r="C5" i="5"/>
  <c r="A5" i="5"/>
  <c r="A4" i="5"/>
  <c r="A3" i="5"/>
  <c r="A2" i="5"/>
  <c r="C41" i="4"/>
  <c r="B41" i="4"/>
  <c r="A41" i="4"/>
  <c r="C40" i="4"/>
  <c r="B40" i="4"/>
  <c r="A40" i="4"/>
  <c r="E40" i="4" s="1"/>
  <c r="C39" i="4"/>
  <c r="B39" i="4"/>
  <c r="A39" i="4"/>
  <c r="E39" i="4" s="1"/>
  <c r="C38" i="4"/>
  <c r="B38" i="4"/>
  <c r="A38" i="4"/>
  <c r="E38" i="4" s="1"/>
  <c r="C37" i="4"/>
  <c r="B37" i="4"/>
  <c r="A37" i="4"/>
  <c r="E37" i="4" s="1"/>
  <c r="D36" i="4"/>
  <c r="C36" i="4"/>
  <c r="B36" i="4"/>
  <c r="A36" i="4"/>
  <c r="E36" i="4" s="1"/>
  <c r="C35" i="4"/>
  <c r="B35" i="4"/>
  <c r="A35" i="4"/>
  <c r="E35" i="4" s="1"/>
  <c r="D34" i="4"/>
  <c r="C34" i="4"/>
  <c r="B34" i="4"/>
  <c r="A34" i="4"/>
  <c r="E34" i="4" s="1"/>
  <c r="C33" i="4"/>
  <c r="B33" i="4"/>
  <c r="A33" i="4"/>
  <c r="E33" i="4" s="1"/>
  <c r="D32" i="4"/>
  <c r="C32" i="4"/>
  <c r="B32" i="4"/>
  <c r="A32" i="4"/>
  <c r="E32" i="4" s="1"/>
  <c r="C31" i="4"/>
  <c r="B31" i="4"/>
  <c r="A31" i="4"/>
  <c r="E31" i="4" s="1"/>
  <c r="D30" i="4"/>
  <c r="C30" i="4"/>
  <c r="B30" i="4"/>
  <c r="A30" i="4"/>
  <c r="E30" i="4" s="1"/>
  <c r="A29" i="4"/>
  <c r="C27" i="4"/>
  <c r="B27" i="4"/>
  <c r="A27" i="4"/>
  <c r="F27" i="4" s="1"/>
  <c r="C26" i="4"/>
  <c r="B26" i="4"/>
  <c r="A26" i="4"/>
  <c r="E26" i="4" s="1"/>
  <c r="C25" i="4"/>
  <c r="B25" i="4"/>
  <c r="A25" i="4"/>
  <c r="F25" i="4" s="1"/>
  <c r="C24" i="4"/>
  <c r="B24" i="4"/>
  <c r="A24" i="4"/>
  <c r="D24" i="4" s="1"/>
  <c r="C23" i="4"/>
  <c r="B23" i="4"/>
  <c r="A23" i="4"/>
  <c r="F23" i="4" s="1"/>
  <c r="C22" i="4"/>
  <c r="B22" i="4"/>
  <c r="A22" i="4"/>
  <c r="E22" i="4" s="1"/>
  <c r="C21" i="4"/>
  <c r="B21" i="4"/>
  <c r="A21" i="4"/>
  <c r="F21" i="4" s="1"/>
  <c r="C20" i="4"/>
  <c r="B20" i="4"/>
  <c r="A20" i="4"/>
  <c r="E20" i="4" s="1"/>
  <c r="C19" i="4"/>
  <c r="B19" i="4"/>
  <c r="A19" i="4"/>
  <c r="F19" i="4" s="1"/>
  <c r="C18" i="4"/>
  <c r="B18" i="4"/>
  <c r="A18" i="4"/>
  <c r="D18" i="4" s="1"/>
  <c r="C17" i="4"/>
  <c r="B17" i="4"/>
  <c r="A17" i="4"/>
  <c r="F17" i="4" s="1"/>
  <c r="C16" i="4"/>
  <c r="B16" i="4"/>
  <c r="A16" i="4"/>
  <c r="D16" i="4" s="1"/>
  <c r="A15" i="4"/>
  <c r="D13" i="4"/>
  <c r="C13" i="4"/>
  <c r="B13" i="4"/>
  <c r="A13" i="4"/>
  <c r="E13" i="4" s="1"/>
  <c r="C12" i="4"/>
  <c r="B12" i="4"/>
  <c r="A12" i="4"/>
  <c r="E12" i="4" s="1"/>
  <c r="C11" i="4"/>
  <c r="B11" i="4"/>
  <c r="A11" i="4"/>
  <c r="E11" i="4" s="1"/>
  <c r="D10" i="4"/>
  <c r="C10" i="4"/>
  <c r="B10" i="4"/>
  <c r="A10" i="4"/>
  <c r="E10" i="4" s="1"/>
  <c r="C9" i="4"/>
  <c r="B9" i="4"/>
  <c r="A9" i="4"/>
  <c r="E9" i="4" s="1"/>
  <c r="D8" i="4"/>
  <c r="C8" i="4"/>
  <c r="B8" i="4"/>
  <c r="A8" i="4"/>
  <c r="E8" i="4" s="1"/>
  <c r="D7" i="4"/>
  <c r="C7" i="4"/>
  <c r="B7" i="4"/>
  <c r="A7" i="4"/>
  <c r="E7" i="4" s="1"/>
  <c r="C6" i="4"/>
  <c r="B6" i="4"/>
  <c r="A6" i="4"/>
  <c r="E6" i="4" s="1"/>
  <c r="C5" i="4"/>
  <c r="B5" i="4"/>
  <c r="A5" i="4"/>
  <c r="E5" i="4" s="1"/>
  <c r="D4" i="4"/>
  <c r="C4" i="4"/>
  <c r="B4" i="4"/>
  <c r="A4" i="4"/>
  <c r="E4" i="4" s="1"/>
  <c r="C3" i="4"/>
  <c r="B3" i="4"/>
  <c r="A3" i="4"/>
  <c r="E3" i="4" s="1"/>
  <c r="C2" i="4"/>
  <c r="B2" i="4"/>
  <c r="A2" i="4"/>
  <c r="E2" i="4" s="1"/>
  <c r="A1" i="4"/>
  <c r="D5" i="2"/>
  <c r="C5" i="2"/>
  <c r="B5" i="2"/>
  <c r="C4" i="2"/>
  <c r="B4" i="2"/>
  <c r="E1" i="2"/>
  <c r="D13" i="3"/>
  <c r="A15" i="3"/>
  <c r="B1" i="2"/>
  <c r="D41" i="4" l="1"/>
  <c r="D11" i="4"/>
  <c r="D39" i="4"/>
  <c r="D2" i="4"/>
  <c r="A5" i="2"/>
  <c r="F11" i="4"/>
  <c r="D12" i="4"/>
  <c r="F39" i="4"/>
  <c r="D40" i="4"/>
  <c r="F40" i="4"/>
  <c r="F12" i="4"/>
  <c r="F13" i="4"/>
  <c r="F41" i="4"/>
  <c r="F38" i="4"/>
  <c r="F8" i="4"/>
  <c r="D9" i="4"/>
  <c r="F36" i="4"/>
  <c r="D37" i="4"/>
  <c r="F9" i="4"/>
  <c r="F10" i="4"/>
  <c r="F37" i="4"/>
  <c r="D38" i="4"/>
  <c r="F33" i="4"/>
  <c r="D5" i="4"/>
  <c r="F34" i="4"/>
  <c r="D35" i="4"/>
  <c r="F6" i="4"/>
  <c r="F7" i="4"/>
  <c r="F5" i="4"/>
  <c r="D6" i="4"/>
  <c r="F35" i="4"/>
  <c r="D33" i="4"/>
  <c r="F3" i="4"/>
  <c r="F4" i="4"/>
  <c r="F30" i="4"/>
  <c r="D31" i="4"/>
  <c r="F31" i="4"/>
  <c r="F2" i="4"/>
  <c r="D3" i="4"/>
  <c r="F32" i="4"/>
  <c r="A2" i="2"/>
  <c r="A4" i="3"/>
  <c r="A10" i="3"/>
  <c r="A16" i="3"/>
  <c r="E16" i="4"/>
  <c r="E18" i="4"/>
  <c r="E24" i="4"/>
  <c r="C1" i="2"/>
  <c r="A3" i="2"/>
  <c r="E1" i="3"/>
  <c r="A5" i="3"/>
  <c r="E7" i="3"/>
  <c r="A11" i="3"/>
  <c r="E13" i="3"/>
  <c r="A17" i="3"/>
  <c r="F16" i="4"/>
  <c r="D17" i="4"/>
  <c r="F18" i="4"/>
  <c r="D19" i="4"/>
  <c r="F20" i="4"/>
  <c r="F22" i="4"/>
  <c r="D23" i="4"/>
  <c r="F24" i="4"/>
  <c r="D25" i="4"/>
  <c r="F26" i="4"/>
  <c r="D27" i="4"/>
  <c r="D1" i="2"/>
  <c r="B1" i="3"/>
  <c r="E17" i="4"/>
  <c r="E25" i="4"/>
  <c r="A2" i="3"/>
  <c r="B7" i="3"/>
  <c r="A8" i="3"/>
  <c r="B13" i="3"/>
  <c r="A14" i="3"/>
  <c r="E19" i="4"/>
  <c r="E23" i="4"/>
  <c r="E27" i="4"/>
  <c r="A4" i="2"/>
  <c r="C1" i="3"/>
  <c r="A3" i="3"/>
  <c r="C7" i="3"/>
  <c r="A9" i="3"/>
  <c r="C13" i="3"/>
  <c r="D20" i="4"/>
  <c r="D22" i="4"/>
  <c r="D26" i="4"/>
  <c r="D1" i="3"/>
  <c r="D7" i="3"/>
  <c r="C4" i="5"/>
  <c r="D3" i="9"/>
  <c r="D4" i="9"/>
</calcChain>
</file>

<file path=xl/sharedStrings.xml><?xml version="1.0" encoding="utf-8"?>
<sst xmlns="http://schemas.openxmlformats.org/spreadsheetml/2006/main" count="437" uniqueCount="58">
  <si>
    <t>Name</t>
  </si>
  <si>
    <t>Abbreviation</t>
  </si>
  <si>
    <t>Minimum Age</t>
  </si>
  <si>
    <t>Maximum Age</t>
  </si>
  <si>
    <t>Interaction Impact Weights</t>
  </si>
  <si>
    <t>Aging</t>
  </si>
  <si>
    <t>n</t>
  </si>
  <si>
    <t>Format</t>
  </si>
  <si>
    <t>Assumption</t>
  </si>
  <si>
    <t>Fraction</t>
  </si>
  <si>
    <t>Number</t>
  </si>
  <si>
    <t>OR</t>
  </si>
  <si>
    <t>Latent Infections [S]</t>
  </si>
  <si>
    <t>Population Count [S]</t>
  </si>
  <si>
    <t>Number of People Vaccinated [S]</t>
  </si>
  <si>
    <t>Active DS Undiagnosed Infections [S]</t>
  </si>
  <si>
    <t>Drug-Susceptible Infections on Treatment [S]</t>
  </si>
  <si>
    <t>Birth Rate (Births -&gt; Susceptible) [P]</t>
  </si>
  <si>
    <t>Latency Departure Rate (Latent -&gt; Active) [P]</t>
  </si>
  <si>
    <t>Active MDR Undiagnosed Infections [S]</t>
  </si>
  <si>
    <t>Vaccination Rate (Susceptible -&gt; Vaccinated) [P]</t>
  </si>
  <si>
    <t>Latency Cure (Latent -&gt; Susceptible) [P]</t>
  </si>
  <si>
    <t>Multidrug-Resistant Infections on Treatment [S]</t>
  </si>
  <si>
    <t>Proportion</t>
  </si>
  <si>
    <t>Proportion Infected DS [P]</t>
  </si>
  <si>
    <t>TB Death Rate [P]</t>
  </si>
  <si>
    <t>Number of People Recovered from Active Infections [S]</t>
  </si>
  <si>
    <t>Proportion DS Infected on treatment [P]</t>
  </si>
  <si>
    <t>Proportion DS Successful Treatment [P]</t>
  </si>
  <si>
    <t>Proportion Infected MDR [P]</t>
  </si>
  <si>
    <t>Proportion MDR Infected on treatment [P]</t>
  </si>
  <si>
    <t>Proportion MDR Successful Treatment [P]</t>
  </si>
  <si>
    <t>Proportion DS Treatment failing and progressing to MDR Treatment [P]</t>
  </si>
  <si>
    <t>Children 0-14</t>
  </si>
  <si>
    <t>0-14</t>
  </si>
  <si>
    <t>Adults 15-49</t>
  </si>
  <si>
    <t>15-49</t>
  </si>
  <si>
    <t>Adults 50+</t>
  </si>
  <si>
    <t>50+</t>
  </si>
  <si>
    <t>y</t>
  </si>
  <si>
    <t>Prisoners</t>
  </si>
  <si>
    <t>Pris</t>
  </si>
  <si>
    <t>Incarceration</t>
  </si>
  <si>
    <t>Release</t>
  </si>
  <si>
    <t>DS Treatment Program</t>
  </si>
  <si>
    <t>...</t>
  </si>
  <si>
    <t>Cost-Coverage Details</t>
  </si>
  <si>
    <t>Program Coverage</t>
  </si>
  <si>
    <t>Program Funding</t>
  </si>
  <si>
    <t>USD</t>
  </si>
  <si>
    <t>Impact Attributes</t>
  </si>
  <si>
    <t>MDR Treatment Program</t>
  </si>
  <si>
    <t>Susceptible Vaccination Program</t>
  </si>
  <si>
    <t>Latent Cure Program</t>
  </si>
  <si>
    <t>ds-tb</t>
  </si>
  <si>
    <t>mdr-tb</t>
  </si>
  <si>
    <t>vac-tb</t>
  </si>
  <si>
    <t>cure-tb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</si>
</sst>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6" formatCode="_-* #,##0_-;\-* #,##0_-;_-* &quot;-&quot;??_-;_-@_-"/>
    <numFmt numFmtId="169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164" fontId="0" fillId="0" borderId="0" xfId="1" applyNumberFormat="1" applyFont="1"/>
    <xf numFmtId="166" fontId="0" fillId="0" borderId="0" xfId="2" applyNumberFormat="1" applyFont="1"/>
    <xf numFmtId="166" fontId="0" fillId="0" borderId="0" xfId="0" applyNumberFormat="1"/>
    <xf numFmtId="169" fontId="0" fillId="0" borderId="0" xfId="0" applyNumberFormat="1"/>
    <xf numFmtId="2" fontId="0" fillId="0" borderId="0" xfId="0" applyNumberFormat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2" sqref="A2:D5"/>
    </sheetView>
  </sheetViews>
  <sheetFormatPr defaultRowHeight="14.4" x14ac:dyDescent="0.55000000000000004"/>
  <cols>
    <col min="1" max="5" width="15.6835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33</v>
      </c>
      <c r="B2" t="s">
        <v>34</v>
      </c>
      <c r="C2">
        <v>0</v>
      </c>
      <c r="D2">
        <v>14</v>
      </c>
    </row>
    <row r="3" spans="1:4" x14ac:dyDescent="0.25">
      <c r="A3" t="s">
        <v>35</v>
      </c>
      <c r="B3" t="s">
        <v>36</v>
      </c>
      <c r="C3">
        <v>15</v>
      </c>
      <c r="D3">
        <v>49</v>
      </c>
    </row>
    <row r="4" spans="1:4" x14ac:dyDescent="0.25">
      <c r="A4" t="s">
        <v>37</v>
      </c>
      <c r="B4" t="s">
        <v>38</v>
      </c>
      <c r="C4">
        <v>50</v>
      </c>
      <c r="D4">
        <v>99</v>
      </c>
    </row>
    <row r="5" spans="1:4" x14ac:dyDescent="0.25">
      <c r="A5" t="s">
        <v>40</v>
      </c>
      <c r="B5" t="s">
        <v>41</v>
      </c>
      <c r="C5">
        <v>15</v>
      </c>
      <c r="D5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2" sqref="B2:E5"/>
    </sheetView>
  </sheetViews>
  <sheetFormatPr defaultRowHeight="14.4" x14ac:dyDescent="0.55000000000000004"/>
  <cols>
    <col min="1" max="1" width="25.68359375" customWidth="1"/>
  </cols>
  <sheetData>
    <row r="1" spans="1:5" x14ac:dyDescent="0.25">
      <c r="A1" t="s">
        <v>4</v>
      </c>
      <c r="B1" t="str">
        <f>'Population Definitions'!$B$2</f>
        <v>0-14</v>
      </c>
      <c r="C1" t="str">
        <f>'Population Definitions'!$B$3</f>
        <v>15-49</v>
      </c>
      <c r="D1" t="str">
        <f>'Population Definitions'!$B$4</f>
        <v>50+</v>
      </c>
      <c r="E1" t="str">
        <f>'Population Definitions'!$B$5</f>
        <v>Pris</v>
      </c>
    </row>
    <row r="2" spans="1:5" x14ac:dyDescent="0.25">
      <c r="A2" t="str">
        <f>'Population Definitions'!$B$2</f>
        <v>0-14</v>
      </c>
      <c r="B2">
        <v>1</v>
      </c>
    </row>
    <row r="3" spans="1:5" x14ac:dyDescent="0.25">
      <c r="A3" t="str">
        <f>'Population Definitions'!$B$3</f>
        <v>15-49</v>
      </c>
      <c r="B3">
        <v>1</v>
      </c>
      <c r="C3">
        <v>5</v>
      </c>
      <c r="D3">
        <v>1</v>
      </c>
      <c r="E3">
        <v>1</v>
      </c>
    </row>
    <row r="4" spans="1:5" x14ac:dyDescent="0.25">
      <c r="A4" t="str">
        <f>'Population Definitions'!$B$4</f>
        <v>50+</v>
      </c>
      <c r="B4" t="str">
        <f>IF(D2&lt;&gt;"",D2,"")</f>
        <v/>
      </c>
      <c r="C4">
        <f>IF(D3&lt;&gt;"",D3,"")</f>
        <v>1</v>
      </c>
      <c r="D4">
        <v>1</v>
      </c>
    </row>
    <row r="5" spans="1:5" x14ac:dyDescent="0.25">
      <c r="A5" t="str">
        <f>'Population Definitions'!$B$5</f>
        <v>Pris</v>
      </c>
      <c r="B5" t="str">
        <f>IF(E2&lt;&gt;"",E2,"")</f>
        <v/>
      </c>
      <c r="C5">
        <f>IF(E3&lt;&gt;"",E3,"")</f>
        <v>1</v>
      </c>
      <c r="D5" t="str">
        <f>IF(E4&lt;&gt;"",E4,"")</f>
        <v/>
      </c>
      <c r="E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14" sqref="B14:E17"/>
    </sheetView>
  </sheetViews>
  <sheetFormatPr defaultRowHeight="14.4" x14ac:dyDescent="0.55000000000000004"/>
  <cols>
    <col min="1" max="1" width="15.68359375" customWidth="1"/>
  </cols>
  <sheetData>
    <row r="1" spans="1:5" x14ac:dyDescent="0.25">
      <c r="A1" t="s">
        <v>5</v>
      </c>
      <c r="B1" t="str">
        <f>'Population Definitions'!$B$2</f>
        <v>0-14</v>
      </c>
      <c r="C1" t="str">
        <f>'Population Definitions'!$B$3</f>
        <v>15-49</v>
      </c>
      <c r="D1" t="str">
        <f>'Population Definitions'!$B$4</f>
        <v>50+</v>
      </c>
      <c r="E1" t="str">
        <f>'Population Definitions'!$B$5</f>
        <v>Pris</v>
      </c>
    </row>
    <row r="2" spans="1:5" x14ac:dyDescent="0.25">
      <c r="A2" t="str">
        <f>'Population Definitions'!$B$2</f>
        <v>0-14</v>
      </c>
      <c r="C2" t="s">
        <v>39</v>
      </c>
      <c r="D2" t="s">
        <v>6</v>
      </c>
      <c r="E2" t="s">
        <v>6</v>
      </c>
    </row>
    <row r="3" spans="1:5" x14ac:dyDescent="0.25">
      <c r="A3" t="str">
        <f>'Population Definitions'!$B$3</f>
        <v>15-49</v>
      </c>
      <c r="B3" t="s">
        <v>6</v>
      </c>
      <c r="D3" t="s">
        <v>39</v>
      </c>
      <c r="E3" t="s">
        <v>6</v>
      </c>
    </row>
    <row r="4" spans="1:5" x14ac:dyDescent="0.25">
      <c r="A4" t="str">
        <f>'Population Definitions'!$B$4</f>
        <v>50+</v>
      </c>
      <c r="B4" t="s">
        <v>6</v>
      </c>
      <c r="C4" t="s">
        <v>6</v>
      </c>
      <c r="E4" t="s">
        <v>6</v>
      </c>
    </row>
    <row r="5" spans="1:5" x14ac:dyDescent="0.25">
      <c r="A5" t="str">
        <f>'Population Definitions'!$B$5</f>
        <v>Pris</v>
      </c>
      <c r="B5" t="s">
        <v>6</v>
      </c>
      <c r="C5" t="s">
        <v>6</v>
      </c>
      <c r="D5" t="s">
        <v>6</v>
      </c>
    </row>
    <row r="7" spans="1:5" x14ac:dyDescent="0.25">
      <c r="A7" t="s">
        <v>42</v>
      </c>
      <c r="B7" t="str">
        <f>'Population Definitions'!$B$2</f>
        <v>0-14</v>
      </c>
      <c r="C7" t="str">
        <f>'Population Definitions'!$B$3</f>
        <v>15-49</v>
      </c>
      <c r="D7" t="str">
        <f>'Population Definitions'!$B$4</f>
        <v>50+</v>
      </c>
      <c r="E7" t="str">
        <f>'Population Definitions'!$B$5</f>
        <v>Pris</v>
      </c>
    </row>
    <row r="8" spans="1:5" x14ac:dyDescent="0.25">
      <c r="A8" t="str">
        <f>'Population Definitions'!$B$2</f>
        <v>0-14</v>
      </c>
      <c r="C8" t="s">
        <v>6</v>
      </c>
      <c r="D8" t="s">
        <v>6</v>
      </c>
      <c r="E8" t="s">
        <v>6</v>
      </c>
    </row>
    <row r="9" spans="1:5" x14ac:dyDescent="0.25">
      <c r="A9" t="str">
        <f>'Population Definitions'!$B$3</f>
        <v>15-49</v>
      </c>
      <c r="B9" t="s">
        <v>6</v>
      </c>
      <c r="D9" t="s">
        <v>6</v>
      </c>
      <c r="E9" t="s">
        <v>39</v>
      </c>
    </row>
    <row r="10" spans="1:5" x14ac:dyDescent="0.25">
      <c r="A10" t="str">
        <f>'Population Definitions'!$B$4</f>
        <v>50+</v>
      </c>
      <c r="B10" t="s">
        <v>6</v>
      </c>
      <c r="C10" t="s">
        <v>6</v>
      </c>
      <c r="E10" t="s">
        <v>6</v>
      </c>
    </row>
    <row r="11" spans="1:5" x14ac:dyDescent="0.25">
      <c r="A11" t="str">
        <f>'Population Definitions'!$B$5</f>
        <v>Pris</v>
      </c>
      <c r="B11" t="s">
        <v>6</v>
      </c>
      <c r="C11" t="s">
        <v>6</v>
      </c>
      <c r="D11" t="s">
        <v>6</v>
      </c>
    </row>
    <row r="13" spans="1:5" x14ac:dyDescent="0.25">
      <c r="A13" t="s">
        <v>43</v>
      </c>
      <c r="B13" t="str">
        <f>'Population Definitions'!$B$2</f>
        <v>0-14</v>
      </c>
      <c r="C13" t="str">
        <f>'Population Definitions'!$B$3</f>
        <v>15-49</v>
      </c>
      <c r="D13" t="str">
        <f>'Population Definitions'!$B$4</f>
        <v>50+</v>
      </c>
      <c r="E13" t="str">
        <f>'Population Definitions'!$B$5</f>
        <v>Pris</v>
      </c>
    </row>
    <row r="14" spans="1:5" x14ac:dyDescent="0.25">
      <c r="A14" t="str">
        <f>'Population Definitions'!$B$2</f>
        <v>0-14</v>
      </c>
      <c r="C14" t="s">
        <v>6</v>
      </c>
      <c r="D14" t="s">
        <v>6</v>
      </c>
      <c r="E14" t="s">
        <v>6</v>
      </c>
    </row>
    <row r="15" spans="1:5" x14ac:dyDescent="0.25">
      <c r="A15" t="str">
        <f>'Population Definitions'!$B$3</f>
        <v>15-49</v>
      </c>
      <c r="B15" t="s">
        <v>6</v>
      </c>
      <c r="D15" t="s">
        <v>6</v>
      </c>
      <c r="E15" t="s">
        <v>6</v>
      </c>
    </row>
    <row r="16" spans="1:5" x14ac:dyDescent="0.25">
      <c r="A16" t="str">
        <f>'Population Definitions'!$B$4</f>
        <v>50+</v>
      </c>
      <c r="B16" t="s">
        <v>6</v>
      </c>
      <c r="C16" t="s">
        <v>6</v>
      </c>
      <c r="E16" t="s">
        <v>6</v>
      </c>
    </row>
    <row r="17" spans="1:4" x14ac:dyDescent="0.25">
      <c r="A17" t="str">
        <f>'Population Definitions'!$B$5</f>
        <v>Pris</v>
      </c>
      <c r="B17" t="s">
        <v>6</v>
      </c>
      <c r="C17" t="s">
        <v>6</v>
      </c>
      <c r="D17" t="s">
        <v>39</v>
      </c>
    </row>
  </sheetData>
  <dataValidations count="48">
    <dataValidation type="list" showInputMessage="1" showErrorMessage="1" sqref="B2">
      <formula1>""</formula1>
    </dataValidation>
    <dataValidation type="list" showInputMessage="1" showErrorMessage="1" sqref="C2">
      <formula1>"n,y"</formula1>
    </dataValidation>
    <dataValidation type="list" showInputMessage="1" showErrorMessage="1" sqref="D2">
      <formula1>"n,y"</formula1>
    </dataValidation>
    <dataValidation type="list" showInputMessage="1" showErrorMessage="1" sqref="E2">
      <formula1>"n,y"</formula1>
    </dataValidation>
    <dataValidation type="list" showInputMessage="1" showErrorMessage="1" sqref="B3">
      <formula1>"n,y"</formula1>
    </dataValidation>
    <dataValidation type="list" showInputMessage="1" showErrorMessage="1" sqref="C3">
      <formula1>""</formula1>
    </dataValidation>
    <dataValidation type="list" showInputMessage="1" showErrorMessage="1" sqref="D3">
      <formula1>"n,y"</formula1>
    </dataValidation>
    <dataValidation type="list" showInputMessage="1" showErrorMessage="1" sqref="E3">
      <formula1>"n,y"</formula1>
    </dataValidation>
    <dataValidation type="list" showInputMessage="1" showErrorMessage="1" sqref="B4">
      <formula1>"n,y"</formula1>
    </dataValidation>
    <dataValidation type="list" showInputMessage="1" showErrorMessage="1" sqref="C4">
      <formula1>"n,y"</formula1>
    </dataValidation>
    <dataValidation type="list" showInputMessage="1" showErrorMessage="1" sqref="D4">
      <formula1>""</formula1>
    </dataValidation>
    <dataValidation type="list" showInputMessage="1" showErrorMessage="1" sqref="E4">
      <formula1>"n,y"</formula1>
    </dataValidation>
    <dataValidation type="list" showInputMessage="1" showErrorMessage="1" sqref="B5">
      <formula1>"n,y"</formula1>
    </dataValidation>
    <dataValidation type="list" showInputMessage="1" showErrorMessage="1" sqref="C5">
      <formula1>"n,y"</formula1>
    </dataValidation>
    <dataValidation type="list" showInputMessage="1" showErrorMessage="1" sqref="D5">
      <formula1>"n,y"</formula1>
    </dataValidation>
    <dataValidation type="list" showInputMessage="1" showErrorMessage="1" sqref="E5">
      <formula1>""</formula1>
    </dataValidation>
    <dataValidation type="list" showInputMessage="1" showErrorMessage="1" sqref="B8">
      <formula1>""</formula1>
    </dataValidation>
    <dataValidation type="list" showInputMessage="1" showErrorMessage="1" sqref="C8">
      <formula1>"n,y"</formula1>
    </dataValidation>
    <dataValidation type="list" showInputMessage="1" showErrorMessage="1" sqref="D8">
      <formula1>"n,y"</formula1>
    </dataValidation>
    <dataValidation type="list" showInputMessage="1" showErrorMessage="1" sqref="E8">
      <formula1>"n,y"</formula1>
    </dataValidation>
    <dataValidation type="list" showInputMessage="1" showErrorMessage="1" sqref="B9">
      <formula1>"n,y"</formula1>
    </dataValidation>
    <dataValidation type="list" showInputMessage="1" showErrorMessage="1" sqref="C9">
      <formula1>""</formula1>
    </dataValidation>
    <dataValidation type="list" showInputMessage="1" showErrorMessage="1" sqref="D9">
      <formula1>"n,y"</formula1>
    </dataValidation>
    <dataValidation type="list" showInputMessage="1" showErrorMessage="1" sqref="E9">
      <formula1>"n,y"</formula1>
    </dataValidation>
    <dataValidation type="list" showInputMessage="1" showErrorMessage="1" sqref="B10">
      <formula1>"n,y"</formula1>
    </dataValidation>
    <dataValidation type="list" showInputMessage="1" showErrorMessage="1" sqref="C10">
      <formula1>"n,y"</formula1>
    </dataValidation>
    <dataValidation type="list" showInputMessage="1" showErrorMessage="1" sqref="D10">
      <formula1>""</formula1>
    </dataValidation>
    <dataValidation type="list" showInputMessage="1" showErrorMessage="1" sqref="E10">
      <formula1>"n,y"</formula1>
    </dataValidation>
    <dataValidation type="list" showInputMessage="1" showErrorMessage="1" sqref="B11">
      <formula1>"n,y"</formula1>
    </dataValidation>
    <dataValidation type="list" showInputMessage="1" showErrorMessage="1" sqref="C11">
      <formula1>"n,y"</formula1>
    </dataValidation>
    <dataValidation type="list" showInputMessage="1" showErrorMessage="1" sqref="D11">
      <formula1>"n,y"</formula1>
    </dataValidation>
    <dataValidation type="list" showInputMessage="1" showErrorMessage="1" sqref="E11">
      <formula1>""</formula1>
    </dataValidation>
    <dataValidation type="list" showInputMessage="1" showErrorMessage="1" sqref="B14">
      <formula1>""</formula1>
    </dataValidation>
    <dataValidation type="list" showInputMessage="1" showErrorMessage="1" sqref="C14">
      <formula1>"n,y"</formula1>
    </dataValidation>
    <dataValidation type="list" showInputMessage="1" showErrorMessage="1" sqref="D14">
      <formula1>"n,y"</formula1>
    </dataValidation>
    <dataValidation type="list" showInputMessage="1" showErrorMessage="1" sqref="E14">
      <formula1>"n,y"</formula1>
    </dataValidation>
    <dataValidation type="list" showInputMessage="1" showErrorMessage="1" sqref="B15">
      <formula1>"n,y"</formula1>
    </dataValidation>
    <dataValidation type="list" showInputMessage="1" showErrorMessage="1" sqref="C15">
      <formula1>""</formula1>
    </dataValidation>
    <dataValidation type="list" showInputMessage="1" showErrorMessage="1" sqref="D15">
      <formula1>"n,y"</formula1>
    </dataValidation>
    <dataValidation type="list" showInputMessage="1" showErrorMessage="1" sqref="E15">
      <formula1>"n,y"</formula1>
    </dataValidation>
    <dataValidation type="list" showInputMessage="1" showErrorMessage="1" sqref="B16">
      <formula1>"n,y"</formula1>
    </dataValidation>
    <dataValidation type="list" showInputMessage="1" showErrorMessage="1" sqref="C16">
      <formula1>"n,y"</formula1>
    </dataValidation>
    <dataValidation type="list" showInputMessage="1" showErrorMessage="1" sqref="D16">
      <formula1>""</formula1>
    </dataValidation>
    <dataValidation type="list" showInputMessage="1" showErrorMessage="1" sqref="E16">
      <formula1>"n,y"</formula1>
    </dataValidation>
    <dataValidation type="list" showInputMessage="1" showErrorMessage="1" sqref="B17">
      <formula1>"n,y"</formula1>
    </dataValidation>
    <dataValidation type="list" showInputMessage="1" showErrorMessage="1" sqref="C17">
      <formula1>"n,y"</formula1>
    </dataValidation>
    <dataValidation type="list" showInputMessage="1" showErrorMessage="1" sqref="D17">
      <formula1>"n,y"</formula1>
    </dataValidation>
    <dataValidation type="list" showInputMessage="1" showErrorMessage="1" sqref="E17">
      <formula1>""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opLeftCell="A13" workbookViewId="0">
      <selection activeCell="D47" sqref="D47"/>
    </sheetView>
  </sheetViews>
  <sheetFormatPr defaultRowHeight="14.4" x14ac:dyDescent="0.55000000000000004"/>
  <cols>
    <col min="1" max="1" width="15.68359375" customWidth="1"/>
    <col min="3" max="3" width="15.68359375" customWidth="1"/>
    <col min="4" max="5" width="10.68359375" customWidth="1"/>
  </cols>
  <sheetData>
    <row r="1" spans="1:22" ht="15" x14ac:dyDescent="0.25">
      <c r="A1" t="str">
        <f>'Transfer Definitions'!A1</f>
        <v>Aging</v>
      </c>
      <c r="D1" t="s">
        <v>7</v>
      </c>
      <c r="E1" t="s">
        <v>8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</row>
    <row r="2" spans="1:22" ht="15" x14ac:dyDescent="0.25">
      <c r="A2" t="str">
        <f>IF('Transfer Definitions'!C2="y",'Population Definitions'!$A$2,"...")</f>
        <v>Children 0-14</v>
      </c>
      <c r="B2" t="str">
        <f>IF('Transfer Definitions'!C2="y","---&gt;","")</f>
        <v>---&gt;</v>
      </c>
      <c r="C2" t="str">
        <f>IF('Transfer Definitions'!C2="y",'Population Definitions'!$A$3,"")</f>
        <v>Adults 15-49</v>
      </c>
      <c r="D2" t="str">
        <f t="shared" ref="D2:D13" si="0">IF(A2&lt;&gt;"...","Fraction","")</f>
        <v>Fraction</v>
      </c>
      <c r="E2">
        <f>IF(A2&lt;&gt;"...",IF(SUMPRODUCT(--(G2:V2&lt;&gt;""))=0,IF(AND('Population Definitions'!D2&lt;&gt;"",'Population Definitions'!C2&lt;&gt;""),1/('Population Definitions'!D2-'Population Definitions'!C2+1),0),"N.A."),"")</f>
        <v>6.6666666666666666E-2</v>
      </c>
      <c r="F2" t="str">
        <f t="shared" ref="F2:F13" si="1">IF(A2&lt;&gt;"...","OR","")</f>
        <v>OR</v>
      </c>
    </row>
    <row r="3" spans="1:22" ht="15" x14ac:dyDescent="0.25">
      <c r="A3" t="str">
        <f>IF('Transfer Definitions'!D2="y",'Population Definitions'!$A$2,"...")</f>
        <v>...</v>
      </c>
      <c r="B3" t="str">
        <f>IF('Transfer Definitions'!D2="y","---&gt;","")</f>
        <v/>
      </c>
      <c r="C3" t="str">
        <f>IF('Transfer Definitions'!D2="y",'Population Definitions'!$A$4,"")</f>
        <v/>
      </c>
      <c r="D3" t="str">
        <f t="shared" si="0"/>
        <v/>
      </c>
      <c r="E3" t="str">
        <f>IF(A3&lt;&gt;"...",IF(SUMPRODUCT(--(G3:V3&lt;&gt;""))=0,IF(AND('Population Definitions'!D2&lt;&gt;"",'Population Definitions'!C2&lt;&gt;""),1/('Population Definitions'!D2-'Population Definitions'!C2+1),0),"N.A."),"")</f>
        <v/>
      </c>
      <c r="F3" t="str">
        <f t="shared" si="1"/>
        <v/>
      </c>
    </row>
    <row r="4" spans="1:22" ht="15" x14ac:dyDescent="0.25">
      <c r="A4" t="str">
        <f>IF('Transfer Definitions'!E2="y",'Population Definitions'!$A$2,"...")</f>
        <v>...</v>
      </c>
      <c r="B4" t="str">
        <f>IF('Transfer Definitions'!E2="y","---&gt;","")</f>
        <v/>
      </c>
      <c r="C4" t="str">
        <f>IF('Transfer Definitions'!E2="y",'Population Definitions'!$A$5,"")</f>
        <v/>
      </c>
      <c r="D4" t="str">
        <f t="shared" si="0"/>
        <v/>
      </c>
      <c r="E4" t="str">
        <f>IF(A4&lt;&gt;"...",IF(SUMPRODUCT(--(G4:V4&lt;&gt;""))=0,IF(AND('Population Definitions'!D2&lt;&gt;"",'Population Definitions'!C2&lt;&gt;""),1/('Population Definitions'!D2-'Population Definitions'!C2+1),0),"N.A."),"")</f>
        <v/>
      </c>
      <c r="F4" t="str">
        <f t="shared" si="1"/>
        <v/>
      </c>
    </row>
    <row r="5" spans="1:22" ht="15" x14ac:dyDescent="0.25">
      <c r="A5" t="str">
        <f>IF('Transfer Definitions'!B3="y",'Population Definitions'!$A$3,"...")</f>
        <v>...</v>
      </c>
      <c r="B5" t="str">
        <f>IF('Transfer Definitions'!B3="y","---&gt;","")</f>
        <v/>
      </c>
      <c r="C5" t="str">
        <f>IF('Transfer Definitions'!B3="y",'Population Definitions'!$A$2,"")</f>
        <v/>
      </c>
      <c r="D5" t="str">
        <f t="shared" si="0"/>
        <v/>
      </c>
      <c r="E5" t="str">
        <f>IF(A5&lt;&gt;"...",IF(SUMPRODUCT(--(G5:V5&lt;&gt;""))=0,IF(AND('Population Definitions'!D3&lt;&gt;"",'Population Definitions'!C3&lt;&gt;""),1/('Population Definitions'!D3-'Population Definitions'!C3+1),0),"N.A."),"")</f>
        <v/>
      </c>
      <c r="F5" t="str">
        <f t="shared" si="1"/>
        <v/>
      </c>
    </row>
    <row r="6" spans="1:22" ht="15" x14ac:dyDescent="0.25">
      <c r="A6" t="str">
        <f>IF('Transfer Definitions'!D3="y",'Population Definitions'!$A$3,"...")</f>
        <v>Adults 15-49</v>
      </c>
      <c r="B6" t="str">
        <f>IF('Transfer Definitions'!D3="y","---&gt;","")</f>
        <v>---&gt;</v>
      </c>
      <c r="C6" t="str">
        <f>IF('Transfer Definitions'!D3="y",'Population Definitions'!$A$4,"")</f>
        <v>Adults 50+</v>
      </c>
      <c r="D6" t="str">
        <f t="shared" si="0"/>
        <v>Fraction</v>
      </c>
      <c r="E6">
        <f>IF(A6&lt;&gt;"...",IF(SUMPRODUCT(--(G6:V6&lt;&gt;""))=0,IF(AND('Population Definitions'!D3&lt;&gt;"",'Population Definitions'!C3&lt;&gt;""),1/('Population Definitions'!D3-'Population Definitions'!C3+1),0),"N.A."),"")</f>
        <v>2.8571428571428571E-2</v>
      </c>
      <c r="F6" t="str">
        <f t="shared" si="1"/>
        <v>OR</v>
      </c>
    </row>
    <row r="7" spans="1:22" ht="15" x14ac:dyDescent="0.25">
      <c r="A7" t="str">
        <f>IF('Transfer Definitions'!E3="y",'Population Definitions'!$A$3,"...")</f>
        <v>...</v>
      </c>
      <c r="B7" t="str">
        <f>IF('Transfer Definitions'!E3="y","---&gt;","")</f>
        <v/>
      </c>
      <c r="C7" t="str">
        <f>IF('Transfer Definitions'!E3="y",'Population Definitions'!$A$5,"")</f>
        <v/>
      </c>
      <c r="D7" t="str">
        <f t="shared" si="0"/>
        <v/>
      </c>
      <c r="E7" t="str">
        <f>IF(A7&lt;&gt;"...",IF(SUMPRODUCT(--(G7:V7&lt;&gt;""))=0,IF(AND('Population Definitions'!D3&lt;&gt;"",'Population Definitions'!C3&lt;&gt;""),1/('Population Definitions'!D3-'Population Definitions'!C3+1),0),"N.A."),"")</f>
        <v/>
      </c>
      <c r="F7" t="str">
        <f t="shared" si="1"/>
        <v/>
      </c>
    </row>
    <row r="8" spans="1:22" ht="15" x14ac:dyDescent="0.25">
      <c r="A8" t="str">
        <f>IF('Transfer Definitions'!B4="y",'Population Definitions'!$A$4,"...")</f>
        <v>...</v>
      </c>
      <c r="B8" t="str">
        <f>IF('Transfer Definitions'!B4="y","---&gt;","")</f>
        <v/>
      </c>
      <c r="C8" t="str">
        <f>IF('Transfer Definitions'!B4="y",'Population Definitions'!$A$2,"")</f>
        <v/>
      </c>
      <c r="D8" t="str">
        <f t="shared" si="0"/>
        <v/>
      </c>
      <c r="E8" t="str">
        <f>IF(A8&lt;&gt;"...",IF(SUMPRODUCT(--(G8:V8&lt;&gt;""))=0,IF(AND('Population Definitions'!D4&lt;&gt;"",'Population Definitions'!C4&lt;&gt;""),1/('Population Definitions'!D4-'Population Definitions'!C4+1),0),"N.A."),"")</f>
        <v/>
      </c>
      <c r="F8" t="str">
        <f t="shared" si="1"/>
        <v/>
      </c>
    </row>
    <row r="9" spans="1:22" ht="15" x14ac:dyDescent="0.25">
      <c r="A9" t="str">
        <f>IF('Transfer Definitions'!C4="y",'Population Definitions'!$A$4,"...")</f>
        <v>...</v>
      </c>
      <c r="B9" t="str">
        <f>IF('Transfer Definitions'!C4="y","---&gt;","")</f>
        <v/>
      </c>
      <c r="C9" t="str">
        <f>IF('Transfer Definitions'!C4="y",'Population Definitions'!$A$3,"")</f>
        <v/>
      </c>
      <c r="D9" t="str">
        <f t="shared" si="0"/>
        <v/>
      </c>
      <c r="E9" t="str">
        <f>IF(A9&lt;&gt;"...",IF(SUMPRODUCT(--(G9:V9&lt;&gt;""))=0,IF(AND('Population Definitions'!D4&lt;&gt;"",'Population Definitions'!C4&lt;&gt;""),1/('Population Definitions'!D4-'Population Definitions'!C4+1),0),"N.A."),"")</f>
        <v/>
      </c>
      <c r="F9" t="str">
        <f t="shared" si="1"/>
        <v/>
      </c>
    </row>
    <row r="10" spans="1:22" ht="15" x14ac:dyDescent="0.25">
      <c r="A10" t="str">
        <f>IF('Transfer Definitions'!E4="y",'Population Definitions'!$A$4,"...")</f>
        <v>...</v>
      </c>
      <c r="B10" t="str">
        <f>IF('Transfer Definitions'!E4="y","---&gt;","")</f>
        <v/>
      </c>
      <c r="C10" t="str">
        <f>IF('Transfer Definitions'!E4="y",'Population Definitions'!$A$5,"")</f>
        <v/>
      </c>
      <c r="D10" t="str">
        <f t="shared" si="0"/>
        <v/>
      </c>
      <c r="E10" t="str">
        <f>IF(A10&lt;&gt;"...",IF(SUMPRODUCT(--(G10:V10&lt;&gt;""))=0,IF(AND('Population Definitions'!D4&lt;&gt;"",'Population Definitions'!C4&lt;&gt;""),1/('Population Definitions'!D4-'Population Definitions'!C4+1),0),"N.A."),"")</f>
        <v/>
      </c>
      <c r="F10" t="str">
        <f t="shared" si="1"/>
        <v/>
      </c>
    </row>
    <row r="11" spans="1:22" ht="15" x14ac:dyDescent="0.25">
      <c r="A11" t="str">
        <f>IF('Transfer Definitions'!B5="y",'Population Definitions'!$A$5,"...")</f>
        <v>...</v>
      </c>
      <c r="B11" t="str">
        <f>IF('Transfer Definitions'!B5="y","---&gt;","")</f>
        <v/>
      </c>
      <c r="C11" t="str">
        <f>IF('Transfer Definitions'!B5="y",'Population Definitions'!$A$2,"")</f>
        <v/>
      </c>
      <c r="D11" t="str">
        <f t="shared" si="0"/>
        <v/>
      </c>
      <c r="E11" t="str">
        <f>IF(A11&lt;&gt;"...",IF(SUMPRODUCT(--(G11:V11&lt;&gt;""))=0,IF(AND('Population Definitions'!D5&lt;&gt;"",'Population Definitions'!C5&lt;&gt;""),1/('Population Definitions'!D5-'Population Definitions'!C5+1),0),"N.A."),"")</f>
        <v/>
      </c>
      <c r="F11" t="str">
        <f t="shared" si="1"/>
        <v/>
      </c>
    </row>
    <row r="12" spans="1:22" ht="15" x14ac:dyDescent="0.25">
      <c r="A12" t="str">
        <f>IF('Transfer Definitions'!C5="y",'Population Definitions'!$A$5,"...")</f>
        <v>...</v>
      </c>
      <c r="B12" t="str">
        <f>IF('Transfer Definitions'!C5="y","---&gt;","")</f>
        <v/>
      </c>
      <c r="C12" t="str">
        <f>IF('Transfer Definitions'!C5="y",'Population Definitions'!$A$3,"")</f>
        <v/>
      </c>
      <c r="D12" t="str">
        <f t="shared" si="0"/>
        <v/>
      </c>
      <c r="E12" t="str">
        <f>IF(A12&lt;&gt;"...",IF(SUMPRODUCT(--(G12:V12&lt;&gt;""))=0,IF(AND('Population Definitions'!D5&lt;&gt;"",'Population Definitions'!C5&lt;&gt;""),1/('Population Definitions'!D5-'Population Definitions'!C5+1),0),"N.A."),"")</f>
        <v/>
      </c>
      <c r="F12" t="str">
        <f t="shared" si="1"/>
        <v/>
      </c>
    </row>
    <row r="13" spans="1:22" ht="15" x14ac:dyDescent="0.25">
      <c r="A13" t="str">
        <f>IF('Transfer Definitions'!D5="y",'Population Definitions'!$A$5,"...")</f>
        <v>...</v>
      </c>
      <c r="B13" t="str">
        <f>IF('Transfer Definitions'!D5="y","---&gt;","")</f>
        <v/>
      </c>
      <c r="C13" t="str">
        <f>IF('Transfer Definitions'!D5="y",'Population Definitions'!$A$4,"")</f>
        <v/>
      </c>
      <c r="D13" t="str">
        <f t="shared" si="0"/>
        <v/>
      </c>
      <c r="E13" t="str">
        <f>IF(A13&lt;&gt;"...",IF(SUMPRODUCT(--(G13:V13&lt;&gt;""))=0,IF(AND('Population Definitions'!D5&lt;&gt;"",'Population Definitions'!C5&lt;&gt;""),1/('Population Definitions'!D5-'Population Definitions'!C5+1),0),"N.A."),"")</f>
        <v/>
      </c>
      <c r="F13" t="str">
        <f t="shared" si="1"/>
        <v/>
      </c>
    </row>
    <row r="15" spans="1:22" ht="15" x14ac:dyDescent="0.25">
      <c r="A15" t="str">
        <f>'Transfer Definitions'!A7</f>
        <v>Incarceration</v>
      </c>
      <c r="D15" t="s">
        <v>7</v>
      </c>
      <c r="E15" t="s">
        <v>8</v>
      </c>
      <c r="G15">
        <v>2000</v>
      </c>
      <c r="H15">
        <v>2001</v>
      </c>
      <c r="I15">
        <v>2002</v>
      </c>
      <c r="J15">
        <v>2003</v>
      </c>
      <c r="K15">
        <v>2004</v>
      </c>
      <c r="L15">
        <v>2005</v>
      </c>
      <c r="M15">
        <v>2006</v>
      </c>
      <c r="N15">
        <v>2007</v>
      </c>
      <c r="O15">
        <v>2008</v>
      </c>
      <c r="P15">
        <v>2009</v>
      </c>
      <c r="Q15">
        <v>2010</v>
      </c>
      <c r="R15">
        <v>2011</v>
      </c>
      <c r="S15">
        <v>2012</v>
      </c>
      <c r="T15">
        <v>2013</v>
      </c>
      <c r="U15">
        <v>2014</v>
      </c>
      <c r="V15">
        <v>2015</v>
      </c>
    </row>
    <row r="16" spans="1:22" ht="15" x14ac:dyDescent="0.25">
      <c r="A16" t="str">
        <f>IF('Transfer Definitions'!C8="y",'Population Definitions'!$A$2,"...")</f>
        <v>...</v>
      </c>
      <c r="B16" t="str">
        <f>IF('Transfer Definitions'!C8="y","---&gt;","")</f>
        <v/>
      </c>
      <c r="C16" t="str">
        <f>IF('Transfer Definitions'!C8="y",'Population Definitions'!$A$3,"")</f>
        <v/>
      </c>
      <c r="D16" t="str">
        <f t="shared" ref="D16:D27" si="2">IF(A16&lt;&gt;"...","Fraction","")</f>
        <v/>
      </c>
      <c r="E16" t="str">
        <f t="shared" ref="E16:E27" si="3">IF(A16&lt;&gt;"...",IF(SUMPRODUCT(--(G16:V16&lt;&gt;""))=0,0,"N.A."),"")</f>
        <v/>
      </c>
      <c r="F16" t="str">
        <f t="shared" ref="F16:F27" si="4">IF(A16&lt;&gt;"...","OR","")</f>
        <v/>
      </c>
    </row>
    <row r="17" spans="1:22" ht="15" x14ac:dyDescent="0.25">
      <c r="A17" t="str">
        <f>IF('Transfer Definitions'!D8="y",'Population Definitions'!$A$2,"...")</f>
        <v>...</v>
      </c>
      <c r="B17" t="str">
        <f>IF('Transfer Definitions'!D8="y","---&gt;","")</f>
        <v/>
      </c>
      <c r="C17" t="str">
        <f>IF('Transfer Definitions'!D8="y",'Population Definitions'!$A$4,"")</f>
        <v/>
      </c>
      <c r="D17" t="str">
        <f t="shared" si="2"/>
        <v/>
      </c>
      <c r="E17" t="str">
        <f t="shared" si="3"/>
        <v/>
      </c>
      <c r="F17" t="str">
        <f t="shared" si="4"/>
        <v/>
      </c>
    </row>
    <row r="18" spans="1:22" ht="15" x14ac:dyDescent="0.25">
      <c r="A18" t="str">
        <f>IF('Transfer Definitions'!E8="y",'Population Definitions'!$A$2,"...")</f>
        <v>...</v>
      </c>
      <c r="B18" t="str">
        <f>IF('Transfer Definitions'!E8="y","---&gt;","")</f>
        <v/>
      </c>
      <c r="C18" t="str">
        <f>IF('Transfer Definitions'!E8="y",'Population Definitions'!$A$5,"")</f>
        <v/>
      </c>
      <c r="D18" t="str">
        <f t="shared" si="2"/>
        <v/>
      </c>
      <c r="E18" t="str">
        <f t="shared" si="3"/>
        <v/>
      </c>
      <c r="F18" t="str">
        <f t="shared" si="4"/>
        <v/>
      </c>
    </row>
    <row r="19" spans="1:22" ht="15" x14ac:dyDescent="0.25">
      <c r="A19" t="str">
        <f>IF('Transfer Definitions'!B9="y",'Population Definitions'!$A$3,"...")</f>
        <v>...</v>
      </c>
      <c r="B19" t="str">
        <f>IF('Transfer Definitions'!B9="y","---&gt;","")</f>
        <v/>
      </c>
      <c r="C19" t="str">
        <f>IF('Transfer Definitions'!B9="y",'Population Definitions'!$A$2,"")</f>
        <v/>
      </c>
      <c r="D19" t="str">
        <f t="shared" si="2"/>
        <v/>
      </c>
      <c r="E19" t="str">
        <f t="shared" si="3"/>
        <v/>
      </c>
      <c r="F19" t="str">
        <f t="shared" si="4"/>
        <v/>
      </c>
    </row>
    <row r="20" spans="1:22" ht="15" x14ac:dyDescent="0.25">
      <c r="A20" t="str">
        <f>IF('Transfer Definitions'!D9="y",'Population Definitions'!$A$3,"...")</f>
        <v>...</v>
      </c>
      <c r="B20" t="str">
        <f>IF('Transfer Definitions'!D9="y","---&gt;","")</f>
        <v/>
      </c>
      <c r="C20" t="str">
        <f>IF('Transfer Definitions'!D9="y",'Population Definitions'!$A$4,"")</f>
        <v/>
      </c>
      <c r="D20" t="str">
        <f t="shared" si="2"/>
        <v/>
      </c>
      <c r="E20" t="str">
        <f t="shared" si="3"/>
        <v/>
      </c>
      <c r="F20" t="str">
        <f t="shared" si="4"/>
        <v/>
      </c>
    </row>
    <row r="21" spans="1:22" ht="15" x14ac:dyDescent="0.25">
      <c r="A21" t="str">
        <f>IF('Transfer Definitions'!E9="y",'Population Definitions'!$A$3,"...")</f>
        <v>Adults 15-49</v>
      </c>
      <c r="B21" t="str">
        <f>IF('Transfer Definitions'!E9="y","---&gt;","")</f>
        <v>---&gt;</v>
      </c>
      <c r="C21" t="str">
        <f>IF('Transfer Definitions'!E9="y",'Population Definitions'!$A$5,"")</f>
        <v>Prisoners</v>
      </c>
      <c r="D21" t="s">
        <v>10</v>
      </c>
      <c r="E21">
        <f>IF(A21&lt;&gt;"...",IF(SUMPRODUCT(--(G21:V21&lt;&gt;""))=0,100,"N.A."),"")</f>
        <v>100</v>
      </c>
      <c r="F21" t="str">
        <f t="shared" si="4"/>
        <v>OR</v>
      </c>
    </row>
    <row r="22" spans="1:22" ht="15" x14ac:dyDescent="0.25">
      <c r="A22" t="str">
        <f>IF('Transfer Definitions'!B10="y",'Population Definitions'!$A$4,"...")</f>
        <v>...</v>
      </c>
      <c r="B22" t="str">
        <f>IF('Transfer Definitions'!B10="y","---&gt;","")</f>
        <v/>
      </c>
      <c r="C22" t="str">
        <f>IF('Transfer Definitions'!B10="y",'Population Definitions'!$A$2,"")</f>
        <v/>
      </c>
      <c r="D22" t="str">
        <f t="shared" si="2"/>
        <v/>
      </c>
      <c r="E22" t="str">
        <f t="shared" si="3"/>
        <v/>
      </c>
      <c r="F22" t="str">
        <f t="shared" si="4"/>
        <v/>
      </c>
    </row>
    <row r="23" spans="1:22" ht="15" x14ac:dyDescent="0.25">
      <c r="A23" t="str">
        <f>IF('Transfer Definitions'!C10="y",'Population Definitions'!$A$4,"...")</f>
        <v>...</v>
      </c>
      <c r="B23" t="str">
        <f>IF('Transfer Definitions'!C10="y","---&gt;","")</f>
        <v/>
      </c>
      <c r="C23" t="str">
        <f>IF('Transfer Definitions'!C10="y",'Population Definitions'!$A$3,"")</f>
        <v/>
      </c>
      <c r="D23" t="str">
        <f t="shared" si="2"/>
        <v/>
      </c>
      <c r="E23" t="str">
        <f t="shared" si="3"/>
        <v/>
      </c>
      <c r="F23" t="str">
        <f t="shared" si="4"/>
        <v/>
      </c>
    </row>
    <row r="24" spans="1:22" ht="15" x14ac:dyDescent="0.25">
      <c r="A24" t="str">
        <f>IF('Transfer Definitions'!E10="y",'Population Definitions'!$A$4,"...")</f>
        <v>...</v>
      </c>
      <c r="B24" t="str">
        <f>IF('Transfer Definitions'!E10="y","---&gt;","")</f>
        <v/>
      </c>
      <c r="C24" t="str">
        <f>IF('Transfer Definitions'!E10="y",'Population Definitions'!$A$5,"")</f>
        <v/>
      </c>
      <c r="D24" t="str">
        <f t="shared" si="2"/>
        <v/>
      </c>
      <c r="E24" t="str">
        <f t="shared" si="3"/>
        <v/>
      </c>
      <c r="F24" t="str">
        <f t="shared" si="4"/>
        <v/>
      </c>
    </row>
    <row r="25" spans="1:22" ht="15" x14ac:dyDescent="0.25">
      <c r="A25" t="str">
        <f>IF('Transfer Definitions'!B11="y",'Population Definitions'!$A$5,"...")</f>
        <v>...</v>
      </c>
      <c r="B25" t="str">
        <f>IF('Transfer Definitions'!B11="y","---&gt;","")</f>
        <v/>
      </c>
      <c r="C25" t="str">
        <f>IF('Transfer Definitions'!B11="y",'Population Definitions'!$A$2,"")</f>
        <v/>
      </c>
      <c r="D25" t="str">
        <f t="shared" si="2"/>
        <v/>
      </c>
      <c r="E25" t="str">
        <f t="shared" si="3"/>
        <v/>
      </c>
      <c r="F25" t="str">
        <f t="shared" si="4"/>
        <v/>
      </c>
    </row>
    <row r="26" spans="1:22" ht="15" x14ac:dyDescent="0.25">
      <c r="A26" t="str">
        <f>IF('Transfer Definitions'!C11="y",'Population Definitions'!$A$5,"...")</f>
        <v>...</v>
      </c>
      <c r="B26" t="str">
        <f>IF('Transfer Definitions'!C11="y","---&gt;","")</f>
        <v/>
      </c>
      <c r="C26" t="str">
        <f>IF('Transfer Definitions'!C11="y",'Population Definitions'!$A$3,"")</f>
        <v/>
      </c>
      <c r="D26" t="str">
        <f t="shared" si="2"/>
        <v/>
      </c>
      <c r="E26" t="str">
        <f t="shared" si="3"/>
        <v/>
      </c>
      <c r="F26" t="str">
        <f t="shared" si="4"/>
        <v/>
      </c>
    </row>
    <row r="27" spans="1:22" ht="15" x14ac:dyDescent="0.25">
      <c r="A27" t="str">
        <f>IF('Transfer Definitions'!D11="y",'Population Definitions'!$A$5,"...")</f>
        <v>...</v>
      </c>
      <c r="B27" t="str">
        <f>IF('Transfer Definitions'!D11="y","---&gt;","")</f>
        <v/>
      </c>
      <c r="C27" t="str">
        <f>IF('Transfer Definitions'!D11="y",'Population Definitions'!$A$4,"")</f>
        <v/>
      </c>
      <c r="D27" t="str">
        <f t="shared" si="2"/>
        <v/>
      </c>
      <c r="E27" t="str">
        <f t="shared" si="3"/>
        <v/>
      </c>
      <c r="F27" t="str">
        <f t="shared" si="4"/>
        <v/>
      </c>
    </row>
    <row r="29" spans="1:22" ht="15" x14ac:dyDescent="0.25">
      <c r="A29" t="str">
        <f>'Transfer Definitions'!A13</f>
        <v>Release</v>
      </c>
      <c r="D29" t="s">
        <v>7</v>
      </c>
      <c r="E29" t="s">
        <v>8</v>
      </c>
      <c r="G29">
        <v>2000</v>
      </c>
      <c r="H29">
        <v>2001</v>
      </c>
      <c r="I29">
        <v>2002</v>
      </c>
      <c r="J29">
        <v>2003</v>
      </c>
      <c r="K29">
        <v>2004</v>
      </c>
      <c r="L29">
        <v>2005</v>
      </c>
      <c r="M29">
        <v>2006</v>
      </c>
      <c r="N29">
        <v>2007</v>
      </c>
      <c r="O29">
        <v>2008</v>
      </c>
      <c r="P29">
        <v>2009</v>
      </c>
      <c r="Q29">
        <v>2010</v>
      </c>
      <c r="R29">
        <v>2011</v>
      </c>
      <c r="S29">
        <v>2012</v>
      </c>
      <c r="T29">
        <v>2013</v>
      </c>
      <c r="U29">
        <v>2014</v>
      </c>
      <c r="V29">
        <v>2015</v>
      </c>
    </row>
    <row r="30" spans="1:22" ht="15" x14ac:dyDescent="0.25">
      <c r="A30" t="str">
        <f>IF('Transfer Definitions'!C14="y",'Population Definitions'!$A$2,"...")</f>
        <v>...</v>
      </c>
      <c r="B30" t="str">
        <f>IF('Transfer Definitions'!C14="y","---&gt;","")</f>
        <v/>
      </c>
      <c r="C30" t="str">
        <f>IF('Transfer Definitions'!C14="y",'Population Definitions'!$A$3,"")</f>
        <v/>
      </c>
      <c r="D30" t="str">
        <f t="shared" ref="D30:D41" si="5">IF(A30&lt;&gt;"...","Fraction","")</f>
        <v/>
      </c>
      <c r="E30" t="str">
        <f t="shared" ref="E30:E40" si="6">IF(A30&lt;&gt;"...",IF(SUMPRODUCT(--(G30:V30&lt;&gt;""))=0,0,"N.A."),"")</f>
        <v/>
      </c>
      <c r="F30" t="str">
        <f t="shared" ref="F30:F41" si="7">IF(A30&lt;&gt;"...","OR","")</f>
        <v/>
      </c>
    </row>
    <row r="31" spans="1:22" ht="15" x14ac:dyDescent="0.25">
      <c r="A31" t="str">
        <f>IF('Transfer Definitions'!D14="y",'Population Definitions'!$A$2,"...")</f>
        <v>...</v>
      </c>
      <c r="B31" t="str">
        <f>IF('Transfer Definitions'!D14="y","---&gt;","")</f>
        <v/>
      </c>
      <c r="C31" t="str">
        <f>IF('Transfer Definitions'!D14="y",'Population Definitions'!$A$4,"")</f>
        <v/>
      </c>
      <c r="D31" t="str">
        <f t="shared" si="5"/>
        <v/>
      </c>
      <c r="E31" t="str">
        <f t="shared" si="6"/>
        <v/>
      </c>
      <c r="F31" t="str">
        <f t="shared" si="7"/>
        <v/>
      </c>
    </row>
    <row r="32" spans="1:22" ht="15" x14ac:dyDescent="0.25">
      <c r="A32" t="str">
        <f>IF('Transfer Definitions'!E14="y",'Population Definitions'!$A$2,"...")</f>
        <v>...</v>
      </c>
      <c r="B32" t="str">
        <f>IF('Transfer Definitions'!E14="y","---&gt;","")</f>
        <v/>
      </c>
      <c r="C32" t="str">
        <f>IF('Transfer Definitions'!E14="y",'Population Definitions'!$A$5,"")</f>
        <v/>
      </c>
      <c r="D32" t="str">
        <f t="shared" si="5"/>
        <v/>
      </c>
      <c r="E32" t="str">
        <f t="shared" si="6"/>
        <v/>
      </c>
      <c r="F32" t="str">
        <f t="shared" si="7"/>
        <v/>
      </c>
    </row>
    <row r="33" spans="1:6" ht="15" x14ac:dyDescent="0.25">
      <c r="A33" t="str">
        <f>IF('Transfer Definitions'!B15="y",'Population Definitions'!$A$3,"...")</f>
        <v>...</v>
      </c>
      <c r="B33" t="str">
        <f>IF('Transfer Definitions'!B15="y","---&gt;","")</f>
        <v/>
      </c>
      <c r="C33" t="str">
        <f>IF('Transfer Definitions'!B15="y",'Population Definitions'!$A$2,"")</f>
        <v/>
      </c>
      <c r="D33" t="str">
        <f t="shared" si="5"/>
        <v/>
      </c>
      <c r="E33" t="str">
        <f t="shared" si="6"/>
        <v/>
      </c>
      <c r="F33" t="str">
        <f t="shared" si="7"/>
        <v/>
      </c>
    </row>
    <row r="34" spans="1:6" ht="15" x14ac:dyDescent="0.25">
      <c r="A34" t="str">
        <f>IF('Transfer Definitions'!D15="y",'Population Definitions'!$A$3,"...")</f>
        <v>...</v>
      </c>
      <c r="B34" t="str">
        <f>IF('Transfer Definitions'!D15="y","---&gt;","")</f>
        <v/>
      </c>
      <c r="C34" t="str">
        <f>IF('Transfer Definitions'!D15="y",'Population Definitions'!$A$4,"")</f>
        <v/>
      </c>
      <c r="D34" t="str">
        <f t="shared" si="5"/>
        <v/>
      </c>
      <c r="E34" t="str">
        <f t="shared" si="6"/>
        <v/>
      </c>
      <c r="F34" t="str">
        <f t="shared" si="7"/>
        <v/>
      </c>
    </row>
    <row r="35" spans="1:6" ht="15" x14ac:dyDescent="0.25">
      <c r="A35" t="str">
        <f>IF('Transfer Definitions'!E15="y",'Population Definitions'!$A$3,"...")</f>
        <v>...</v>
      </c>
      <c r="B35" t="str">
        <f>IF('Transfer Definitions'!E15="y","---&gt;","")</f>
        <v/>
      </c>
      <c r="C35" t="str">
        <f>IF('Transfer Definitions'!E15="y",'Population Definitions'!$A$5,"")</f>
        <v/>
      </c>
      <c r="D35" t="str">
        <f t="shared" si="5"/>
        <v/>
      </c>
      <c r="E35" t="str">
        <f t="shared" si="6"/>
        <v/>
      </c>
      <c r="F35" t="str">
        <f t="shared" si="7"/>
        <v/>
      </c>
    </row>
    <row r="36" spans="1:6" ht="15" x14ac:dyDescent="0.25">
      <c r="A36" t="str">
        <f>IF('Transfer Definitions'!B16="y",'Population Definitions'!$A$4,"...")</f>
        <v>...</v>
      </c>
      <c r="B36" t="str">
        <f>IF('Transfer Definitions'!B16="y","---&gt;","")</f>
        <v/>
      </c>
      <c r="C36" t="str">
        <f>IF('Transfer Definitions'!B16="y",'Population Definitions'!$A$2,"")</f>
        <v/>
      </c>
      <c r="D36" t="str">
        <f t="shared" si="5"/>
        <v/>
      </c>
      <c r="E36" t="str">
        <f t="shared" si="6"/>
        <v/>
      </c>
      <c r="F36" t="str">
        <f t="shared" si="7"/>
        <v/>
      </c>
    </row>
    <row r="37" spans="1:6" ht="15" x14ac:dyDescent="0.25">
      <c r="A37" t="str">
        <f>IF('Transfer Definitions'!C16="y",'Population Definitions'!$A$4,"...")</f>
        <v>...</v>
      </c>
      <c r="B37" t="str">
        <f>IF('Transfer Definitions'!C16="y","---&gt;","")</f>
        <v/>
      </c>
      <c r="C37" t="str">
        <f>IF('Transfer Definitions'!C16="y",'Population Definitions'!$A$3,"")</f>
        <v/>
      </c>
      <c r="D37" t="str">
        <f t="shared" si="5"/>
        <v/>
      </c>
      <c r="E37" t="str">
        <f t="shared" si="6"/>
        <v/>
      </c>
      <c r="F37" t="str">
        <f t="shared" si="7"/>
        <v/>
      </c>
    </row>
    <row r="38" spans="1:6" x14ac:dyDescent="0.55000000000000004">
      <c r="A38" t="str">
        <f>IF('Transfer Definitions'!E16="y",'Population Definitions'!$A$4,"...")</f>
        <v>...</v>
      </c>
      <c r="B38" t="str">
        <f>IF('Transfer Definitions'!E16="y","---&gt;","")</f>
        <v/>
      </c>
      <c r="C38" t="str">
        <f>IF('Transfer Definitions'!E16="y",'Population Definitions'!$A$5,"")</f>
        <v/>
      </c>
      <c r="D38" t="str">
        <f t="shared" si="5"/>
        <v/>
      </c>
      <c r="E38" t="str">
        <f t="shared" si="6"/>
        <v/>
      </c>
      <c r="F38" t="str">
        <f t="shared" si="7"/>
        <v/>
      </c>
    </row>
    <row r="39" spans="1:6" x14ac:dyDescent="0.55000000000000004">
      <c r="A39" t="str">
        <f>IF('Transfer Definitions'!B17="y",'Population Definitions'!$A$5,"...")</f>
        <v>...</v>
      </c>
      <c r="B39" t="str">
        <f>IF('Transfer Definitions'!B17="y","---&gt;","")</f>
        <v/>
      </c>
      <c r="C39" t="str">
        <f>IF('Transfer Definitions'!B17="y",'Population Definitions'!$A$2,"")</f>
        <v/>
      </c>
      <c r="D39" t="str">
        <f t="shared" si="5"/>
        <v/>
      </c>
      <c r="E39" t="str">
        <f t="shared" si="6"/>
        <v/>
      </c>
      <c r="F39" t="str">
        <f t="shared" si="7"/>
        <v/>
      </c>
    </row>
    <row r="40" spans="1:6" x14ac:dyDescent="0.55000000000000004">
      <c r="A40" t="str">
        <f>IF('Transfer Definitions'!C17="y",'Population Definitions'!$A$5,"...")</f>
        <v>...</v>
      </c>
      <c r="B40" t="str">
        <f>IF('Transfer Definitions'!C17="y","---&gt;","")</f>
        <v/>
      </c>
      <c r="C40" t="str">
        <f>IF('Transfer Definitions'!C17="y",'Population Definitions'!$A$3,"")</f>
        <v/>
      </c>
      <c r="D40" t="str">
        <f t="shared" si="5"/>
        <v/>
      </c>
      <c r="E40" t="str">
        <f t="shared" si="6"/>
        <v/>
      </c>
      <c r="F40" t="str">
        <f t="shared" si="7"/>
        <v/>
      </c>
    </row>
    <row r="41" spans="1:6" x14ac:dyDescent="0.55000000000000004">
      <c r="A41" t="str">
        <f>IF('Transfer Definitions'!D17="y",'Population Definitions'!$A$5,"...")</f>
        <v>Prisoners</v>
      </c>
      <c r="B41" t="str">
        <f>IF('Transfer Definitions'!D17="y","---&gt;","")</f>
        <v>---&gt;</v>
      </c>
      <c r="C41" t="str">
        <f>IF('Transfer Definitions'!D17="y",'Population Definitions'!$A$4,"")</f>
        <v>Adults 50+</v>
      </c>
      <c r="D41" t="str">
        <f t="shared" si="5"/>
        <v>Fraction</v>
      </c>
      <c r="E41">
        <f>IF(A41&lt;&gt;"...",IF(SUMPRODUCT(--(G41:V41&lt;&gt;""))=0,0.1,"N.A."),"")</f>
        <v>0.1</v>
      </c>
      <c r="F41" t="str">
        <f t="shared" si="7"/>
        <v>OR</v>
      </c>
    </row>
  </sheetData>
  <dataValidations count="36">
    <dataValidation type="list" showInputMessage="1" showErrorMessage="1" sqref="D2">
      <formula1>"Fraction,Number"</formula1>
    </dataValidation>
    <dataValidation type="list" showInputMessage="1" showErrorMessage="1" sqref="D3">
      <formula1>"Fraction,Number"</formula1>
    </dataValidation>
    <dataValidation type="list" showInputMessage="1" showErrorMessage="1" sqref="D4">
      <formula1>"Fraction,Number"</formula1>
    </dataValidation>
    <dataValidation type="list" showInputMessage="1" showErrorMessage="1" sqref="D5">
      <formula1>"Fraction,Number"</formula1>
    </dataValidation>
    <dataValidation type="list" showInputMessage="1" showErrorMessage="1" sqref="D6">
      <formula1>"Fraction,Number"</formula1>
    </dataValidation>
    <dataValidation type="list" showInputMessage="1" showErrorMessage="1" sqref="D7">
      <formula1>"Fraction,Number"</formula1>
    </dataValidation>
    <dataValidation type="list" showInputMessage="1" showErrorMessage="1" sqref="D8">
      <formula1>"Fraction,Number"</formula1>
    </dataValidation>
    <dataValidation type="list" showInputMessage="1" showErrorMessage="1" sqref="D9">
      <formula1>"Fraction,Number"</formula1>
    </dataValidation>
    <dataValidation type="list" showInputMessage="1" showErrorMessage="1" sqref="D10">
      <formula1>"Fraction,Number"</formula1>
    </dataValidation>
    <dataValidation type="list" showInputMessage="1" showErrorMessage="1" sqref="D11">
      <formula1>"Fraction,Number"</formula1>
    </dataValidation>
    <dataValidation type="list" showInputMessage="1" showErrorMessage="1" sqref="D12">
      <formula1>"Fraction,Number"</formula1>
    </dataValidation>
    <dataValidation type="list" showInputMessage="1" showErrorMessage="1" sqref="D13">
      <formula1>"Fraction,Number"</formula1>
    </dataValidation>
    <dataValidation type="list" showInputMessage="1" showErrorMessage="1" sqref="D16">
      <formula1>"Fraction,Number"</formula1>
    </dataValidation>
    <dataValidation type="list" showInputMessage="1" showErrorMessage="1" sqref="D17">
      <formula1>"Fraction,Number"</formula1>
    </dataValidation>
    <dataValidation type="list" showInputMessage="1" showErrorMessage="1" sqref="D18">
      <formula1>"Fraction,Number"</formula1>
    </dataValidation>
    <dataValidation type="list" showInputMessage="1" showErrorMessage="1" sqref="D19">
      <formula1>"Fraction,Number"</formula1>
    </dataValidation>
    <dataValidation type="list" showInputMessage="1" showErrorMessage="1" sqref="D20">
      <formula1>"Fraction,Number"</formula1>
    </dataValidation>
    <dataValidation type="list" showInputMessage="1" showErrorMessage="1" sqref="D21">
      <formula1>"Fraction,Number"</formula1>
    </dataValidation>
    <dataValidation type="list" showInputMessage="1" showErrorMessage="1" sqref="D22">
      <formula1>"Fraction,Number"</formula1>
    </dataValidation>
    <dataValidation type="list" showInputMessage="1" showErrorMessage="1" sqref="D23">
      <formula1>"Fraction,Number"</formula1>
    </dataValidation>
    <dataValidation type="list" showInputMessage="1" showErrorMessage="1" sqref="D24">
      <formula1>"Fraction,Number"</formula1>
    </dataValidation>
    <dataValidation type="list" showInputMessage="1" showErrorMessage="1" sqref="D25">
      <formula1>"Fraction,Number"</formula1>
    </dataValidation>
    <dataValidation type="list" showInputMessage="1" showErrorMessage="1" sqref="D26">
      <formula1>"Fraction,Number"</formula1>
    </dataValidation>
    <dataValidation type="list" showInputMessage="1" showErrorMessage="1" sqref="D27">
      <formula1>"Fraction,Number"</formula1>
    </dataValidation>
    <dataValidation type="list" showInputMessage="1" showErrorMessage="1" sqref="D30">
      <formula1>"Fraction,Number"</formula1>
    </dataValidation>
    <dataValidation type="list" showInputMessage="1" showErrorMessage="1" sqref="D31">
      <formula1>"Fraction,Number"</formula1>
    </dataValidation>
    <dataValidation type="list" showInputMessage="1" showErrorMessage="1" sqref="D32">
      <formula1>"Fraction,Number"</formula1>
    </dataValidation>
    <dataValidation type="list" showInputMessage="1" showErrorMessage="1" sqref="D33">
      <formula1>"Fraction,Number"</formula1>
    </dataValidation>
    <dataValidation type="list" showInputMessage="1" showErrorMessage="1" sqref="D34">
      <formula1>"Fraction,Number"</formula1>
    </dataValidation>
    <dataValidation type="list" showInputMessage="1" showErrorMessage="1" sqref="D35">
      <formula1>"Fraction,Number"</formula1>
    </dataValidation>
    <dataValidation type="list" showInputMessage="1" showErrorMessage="1" sqref="D36">
      <formula1>"Fraction,Number"</formula1>
    </dataValidation>
    <dataValidation type="list" showInputMessage="1" showErrorMessage="1" sqref="D37">
      <formula1>"Fraction,Number"</formula1>
    </dataValidation>
    <dataValidation type="list" showInputMessage="1" showErrorMessage="1" sqref="D38">
      <formula1>"Fraction,Number"</formula1>
    </dataValidation>
    <dataValidation type="list" showInputMessage="1" showErrorMessage="1" sqref="D39">
      <formula1>"Fraction,Number"</formula1>
    </dataValidation>
    <dataValidation type="list" showInputMessage="1" showErrorMessage="1" sqref="D40">
      <formula1>"Fraction,Number"</formula1>
    </dataValidation>
    <dataValidation type="list" showInputMessage="1" showErrorMessage="1" sqref="D41">
      <formula1>"Fraction,Number"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H9" sqref="H9"/>
    </sheetView>
  </sheetViews>
  <sheetFormatPr defaultRowHeight="14.4" x14ac:dyDescent="0.55000000000000004"/>
  <cols>
    <col min="1" max="1" width="30.578125" bestFit="1" customWidth="1"/>
    <col min="2" max="2" width="12.578125" bestFit="1" customWidth="1"/>
    <col min="3" max="3" width="4.68359375" bestFit="1" customWidth="1"/>
    <col min="4" max="4" width="5.68359375" bestFit="1" customWidth="1"/>
    <col min="5" max="5" width="4" bestFit="1" customWidth="1"/>
    <col min="6" max="6" width="4.26171875" bestFit="1" customWidth="1"/>
  </cols>
  <sheetData>
    <row r="1" spans="1:6" x14ac:dyDescent="0.25">
      <c r="A1" t="s">
        <v>0</v>
      </c>
      <c r="B1" t="s">
        <v>1</v>
      </c>
      <c r="C1" t="str">
        <f>'Population Definitions'!$B$2</f>
        <v>0-14</v>
      </c>
      <c r="D1" t="str">
        <f>'Population Definitions'!$B$3</f>
        <v>15-49</v>
      </c>
      <c r="E1" t="str">
        <f>'Population Definitions'!$B$4</f>
        <v>50+</v>
      </c>
      <c r="F1" t="str">
        <f>'Population Definitions'!$B$5</f>
        <v>Pris</v>
      </c>
    </row>
    <row r="2" spans="1:6" x14ac:dyDescent="0.25">
      <c r="A2" t="s">
        <v>44</v>
      </c>
      <c r="B2" t="s">
        <v>54</v>
      </c>
      <c r="C2" t="s">
        <v>39</v>
      </c>
      <c r="D2" t="s">
        <v>39</v>
      </c>
      <c r="E2" t="s">
        <v>39</v>
      </c>
      <c r="F2" t="s">
        <v>6</v>
      </c>
    </row>
    <row r="3" spans="1:6" x14ac:dyDescent="0.25">
      <c r="A3" t="s">
        <v>51</v>
      </c>
      <c r="B3" t="s">
        <v>55</v>
      </c>
      <c r="C3" t="s">
        <v>6</v>
      </c>
      <c r="D3" t="s">
        <v>39</v>
      </c>
      <c r="E3" t="s">
        <v>39</v>
      </c>
      <c r="F3" t="s">
        <v>6</v>
      </c>
    </row>
    <row r="4" spans="1:6" x14ac:dyDescent="0.25">
      <c r="A4" t="s">
        <v>52</v>
      </c>
      <c r="B4" t="s">
        <v>56</v>
      </c>
      <c r="C4" t="s">
        <v>39</v>
      </c>
      <c r="D4" t="s">
        <v>6</v>
      </c>
      <c r="E4" t="s">
        <v>6</v>
      </c>
      <c r="F4" t="s">
        <v>6</v>
      </c>
    </row>
    <row r="5" spans="1:6" x14ac:dyDescent="0.25">
      <c r="A5" t="s">
        <v>53</v>
      </c>
      <c r="B5" t="s">
        <v>57</v>
      </c>
      <c r="C5" t="s">
        <v>6</v>
      </c>
      <c r="D5" t="s">
        <v>6</v>
      </c>
      <c r="E5" t="s">
        <v>6</v>
      </c>
      <c r="F5" t="s">
        <v>39</v>
      </c>
    </row>
  </sheetData>
  <dataValidations count="1">
    <dataValidation type="list" showInputMessage="1" showErrorMessage="1" sqref="C2:F5">
      <formula1>"n,y"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abSelected="1" topLeftCell="A4" workbookViewId="0">
      <selection activeCell="J30" sqref="J30"/>
    </sheetView>
  </sheetViews>
  <sheetFormatPr defaultRowHeight="14.4" x14ac:dyDescent="0.55000000000000004"/>
  <cols>
    <col min="1" max="1" width="30.578125" bestFit="1" customWidth="1"/>
    <col min="2" max="2" width="47.68359375" bestFit="1" customWidth="1"/>
    <col min="3" max="3" width="8.26171875" bestFit="1" customWidth="1"/>
    <col min="4" max="4" width="11.578125" bestFit="1" customWidth="1"/>
    <col min="5" max="5" width="3.578125" bestFit="1" customWidth="1"/>
    <col min="6" max="6" width="5.68359375" bestFit="1" customWidth="1"/>
    <col min="7" max="10" width="5" bestFit="1" customWidth="1"/>
    <col min="11" max="11" width="11.578125" bestFit="1" customWidth="1"/>
    <col min="12" max="15" width="5" bestFit="1" customWidth="1"/>
    <col min="16" max="16" width="10.7890625" bestFit="1" customWidth="1"/>
    <col min="17" max="17" width="7.15625" bestFit="1" customWidth="1"/>
    <col min="18" max="18" width="5" bestFit="1" customWidth="1"/>
    <col min="19" max="19" width="10.7890625" bestFit="1" customWidth="1"/>
    <col min="20" max="20" width="5" bestFit="1" customWidth="1"/>
    <col min="21" max="21" width="12.578125" bestFit="1" customWidth="1"/>
  </cols>
  <sheetData>
    <row r="1" spans="1:21" ht="15" x14ac:dyDescent="0.25">
      <c r="A1" t="str">
        <f>'Program Definitions'!$A$2</f>
        <v>DS Treatment Program</v>
      </c>
      <c r="B1" t="s">
        <v>44</v>
      </c>
    </row>
    <row r="2" spans="1:21" ht="15" x14ac:dyDescent="0.25">
      <c r="A2" t="s">
        <v>45</v>
      </c>
      <c r="C2" t="s">
        <v>7</v>
      </c>
      <c r="D2" t="s">
        <v>8</v>
      </c>
      <c r="F2">
        <v>2000</v>
      </c>
      <c r="G2">
        <v>2001</v>
      </c>
      <c r="H2">
        <v>2002</v>
      </c>
      <c r="I2">
        <v>2003</v>
      </c>
      <c r="J2">
        <v>2004</v>
      </c>
      <c r="K2">
        <v>2005</v>
      </c>
      <c r="L2">
        <v>2006</v>
      </c>
      <c r="M2">
        <v>2007</v>
      </c>
      <c r="N2">
        <v>2008</v>
      </c>
      <c r="O2">
        <v>2009</v>
      </c>
      <c r="P2">
        <v>2010</v>
      </c>
      <c r="Q2">
        <v>2011</v>
      </c>
      <c r="R2">
        <v>2012</v>
      </c>
      <c r="S2">
        <v>2013</v>
      </c>
      <c r="T2">
        <v>2014</v>
      </c>
      <c r="U2">
        <v>2015</v>
      </c>
    </row>
    <row r="3" spans="1:21" ht="15" x14ac:dyDescent="0.25">
      <c r="A3" t="s">
        <v>46</v>
      </c>
      <c r="B3" t="s">
        <v>47</v>
      </c>
      <c r="C3" t="s">
        <v>10</v>
      </c>
      <c r="D3" t="str">
        <f>IF(SUMPRODUCT(--(F3:U3&lt;&gt;""))=0,0,"N.A.")</f>
        <v>N.A.</v>
      </c>
      <c r="E3" t="s">
        <v>11</v>
      </c>
      <c r="F3" s="4"/>
      <c r="P3" s="4">
        <f>U3/2</f>
        <v>76250</v>
      </c>
      <c r="U3" s="3">
        <f>SUM('General Demographics'!C2:C4)*0.25</f>
        <v>152500</v>
      </c>
    </row>
    <row r="4" spans="1:21" ht="15" x14ac:dyDescent="0.25">
      <c r="A4" t="s">
        <v>45</v>
      </c>
      <c r="B4" t="s">
        <v>48</v>
      </c>
      <c r="C4" t="s">
        <v>49</v>
      </c>
      <c r="D4" t="str">
        <f>IF(SUMPRODUCT(--(F4:U4&lt;&gt;""))=0,0,"N.A.")</f>
        <v>N.A.</v>
      </c>
      <c r="E4" t="s">
        <v>11</v>
      </c>
      <c r="F4" s="2"/>
      <c r="G4" s="2"/>
      <c r="H4" s="2"/>
      <c r="I4" s="2"/>
      <c r="J4" s="2"/>
      <c r="K4" s="2"/>
      <c r="L4" s="2"/>
      <c r="M4" s="2"/>
      <c r="N4" s="2"/>
      <c r="O4" s="2"/>
      <c r="P4" s="2">
        <f>P3*D5</f>
        <v>7625000</v>
      </c>
      <c r="Q4" s="2"/>
      <c r="R4" s="2"/>
      <c r="S4" s="2"/>
      <c r="T4" s="2"/>
      <c r="U4" s="2">
        <f>U3*D5</f>
        <v>15250000</v>
      </c>
    </row>
    <row r="5" spans="1:21" ht="15" x14ac:dyDescent="0.25">
      <c r="A5" t="s">
        <v>45</v>
      </c>
      <c r="B5" t="str">
        <f>CONCATENATE("Unit Cost Estimate",IF(C3="Fraction"," (Per 1%)",""))</f>
        <v>Unit Cost Estimate</v>
      </c>
      <c r="C5" t="str">
        <f>CONCATENATE(C4)</f>
        <v>USD</v>
      </c>
      <c r="D5">
        <f>IF(SUMPRODUCT(--(F5:U5&lt;&gt;"..."))=0,100,"N.A.")</f>
        <v>100</v>
      </c>
      <c r="E5" t="s">
        <v>11</v>
      </c>
      <c r="F5" t="s">
        <v>45</v>
      </c>
      <c r="G5" t="s">
        <v>45</v>
      </c>
      <c r="H5" t="s">
        <v>45</v>
      </c>
      <c r="I5" t="s">
        <v>45</v>
      </c>
      <c r="J5" t="s">
        <v>45</v>
      </c>
      <c r="K5" t="s">
        <v>45</v>
      </c>
      <c r="L5" t="s">
        <v>45</v>
      </c>
      <c r="M5" t="s">
        <v>45</v>
      </c>
      <c r="N5" t="s">
        <v>45</v>
      </c>
      <c r="O5" t="s">
        <v>45</v>
      </c>
      <c r="P5" t="s">
        <v>45</v>
      </c>
      <c r="Q5" t="s">
        <v>45</v>
      </c>
      <c r="R5" t="s">
        <v>45</v>
      </c>
      <c r="S5" t="s">
        <v>45</v>
      </c>
      <c r="T5" t="s">
        <v>45</v>
      </c>
      <c r="U5" t="s">
        <v>45</v>
      </c>
    </row>
    <row r="6" spans="1:21" ht="15" x14ac:dyDescent="0.25">
      <c r="A6" t="s">
        <v>50</v>
      </c>
      <c r="B6" t="str">
        <f>IF(B1="Latent Cure Program","Efficacy of Vaccination",IF(B1="Susceptible Vaccination Program","Efficacy of Vaccination",IF(B1="MDR Treatment Program","Efficacy of treatment (After Treatment Completion)",IF(B1="DS Treatment Program","Efficacy of treatment (After Treatment Completion)","..."))))</f>
        <v>Efficacy of treatment (After Treatment Completion)</v>
      </c>
      <c r="C6" t="str">
        <f>IF(B6&lt;&gt;"...","Unique","")</f>
        <v>Unique</v>
      </c>
      <c r="D6" t="str">
        <f>IF(B6&lt;&gt;"...",IF(SUMPRODUCT(--(F6:U6&lt;&gt;""))=0,0,"N.A."),"")</f>
        <v>N.A.</v>
      </c>
      <c r="E6" t="str">
        <f>IF(B6&lt;&gt;"...","OR","")</f>
        <v>OR</v>
      </c>
      <c r="P6">
        <v>0.75</v>
      </c>
      <c r="Q6" s="5"/>
      <c r="U6">
        <v>0.9</v>
      </c>
    </row>
    <row r="7" spans="1:21" ht="15" x14ac:dyDescent="0.25">
      <c r="A7" t="s">
        <v>45</v>
      </c>
      <c r="B7" t="str">
        <f>IF(B1="Latent Cure Program","...",IF(B1="Susceptible Vaccination Program","...",IF(B1="MDR Treatment Program","Adherence Probability (Yearly)",IF(B1="DS Treatment Program","Adherence Probability (Yearly)","..."))))</f>
        <v>Adherence Probability (Yearly)</v>
      </c>
      <c r="C7" t="str">
        <f>IF(B7&lt;&gt;"...","Unique","")</f>
        <v>Unique</v>
      </c>
      <c r="D7" t="str">
        <f>IF(B7&lt;&gt;"...",IF(SUMPRODUCT(--(F7:U7&lt;&gt;""))=0,0,"N.A."),"")</f>
        <v>N.A.</v>
      </c>
      <c r="E7" t="str">
        <f>IF(B7&lt;&gt;"...","OR","")</f>
        <v>OR</v>
      </c>
      <c r="P7" s="6">
        <f>2/3</f>
        <v>0.66666666666666663</v>
      </c>
      <c r="U7">
        <v>0.9</v>
      </c>
    </row>
    <row r="8" spans="1:21" ht="15" x14ac:dyDescent="0.25">
      <c r="A8" t="s">
        <v>45</v>
      </c>
      <c r="B8" t="str">
        <f>IF(B1="Latent Cure Program","...",IF(B1="Susceptible Vaccination Program","...",IF(B1="MDR Treatment Program","Treatment Duration (Months)",IF(B1="DS Treatment Program","Treatment Duration (Months)","..."))))</f>
        <v>Treatment Duration (Months)</v>
      </c>
      <c r="C8" t="str">
        <f>IF(B8&lt;&gt;"...","Unique","")</f>
        <v>Unique</v>
      </c>
      <c r="D8" t="str">
        <f>IF(B8&lt;&gt;"...",IF(SUMPRODUCT(--(F8:U8&lt;&gt;""))=0,12,"N.A."),"")</f>
        <v>N.A.</v>
      </c>
      <c r="E8" t="str">
        <f>IF(B8&lt;&gt;"...","OR","")</f>
        <v>OR</v>
      </c>
      <c r="P8">
        <v>12</v>
      </c>
      <c r="U8">
        <v>6</v>
      </c>
    </row>
    <row r="10" spans="1:21" ht="15" x14ac:dyDescent="0.25">
      <c r="A10" t="str">
        <f>'Program Definitions'!$A$3</f>
        <v>MDR Treatment Program</v>
      </c>
      <c r="B10" t="s">
        <v>51</v>
      </c>
    </row>
    <row r="11" spans="1:21" ht="15" x14ac:dyDescent="0.25">
      <c r="A11" t="s">
        <v>45</v>
      </c>
      <c r="C11" t="s">
        <v>7</v>
      </c>
      <c r="D11" t="s">
        <v>8</v>
      </c>
      <c r="F11">
        <v>2000</v>
      </c>
      <c r="G11">
        <v>2001</v>
      </c>
      <c r="H11">
        <v>2002</v>
      </c>
      <c r="I11">
        <v>2003</v>
      </c>
      <c r="J11">
        <v>2004</v>
      </c>
      <c r="K11">
        <v>2005</v>
      </c>
      <c r="L11">
        <v>2006</v>
      </c>
      <c r="M11">
        <v>2007</v>
      </c>
      <c r="N11">
        <v>2008</v>
      </c>
      <c r="O11">
        <v>2009</v>
      </c>
      <c r="P11">
        <v>2010</v>
      </c>
      <c r="Q11">
        <v>2011</v>
      </c>
      <c r="R11">
        <v>2012</v>
      </c>
      <c r="S11">
        <v>2013</v>
      </c>
      <c r="T11">
        <v>2014</v>
      </c>
      <c r="U11">
        <v>2015</v>
      </c>
    </row>
    <row r="12" spans="1:21" ht="15" x14ac:dyDescent="0.25">
      <c r="A12" t="s">
        <v>46</v>
      </c>
      <c r="B12" t="s">
        <v>47</v>
      </c>
      <c r="C12" t="s">
        <v>10</v>
      </c>
      <c r="D12" t="str">
        <f>IF(SUMPRODUCT(--(F12:U12&lt;&gt;""))=0,0,"N.A.")</f>
        <v>N.A.</v>
      </c>
      <c r="E12" t="s">
        <v>11</v>
      </c>
      <c r="S12" s="3">
        <f>SUM('General Demographics'!C3:C4)*0.05</f>
        <v>25500</v>
      </c>
    </row>
    <row r="13" spans="1:21" ht="15" x14ac:dyDescent="0.25">
      <c r="A13" t="s">
        <v>45</v>
      </c>
      <c r="B13" t="s">
        <v>48</v>
      </c>
      <c r="C13" t="s">
        <v>49</v>
      </c>
      <c r="D13" t="str">
        <f>IF(SUMPRODUCT(--(F13:U13&lt;&gt;""))=0,0,"N.A.")</f>
        <v>N.A.</v>
      </c>
      <c r="E13" t="s">
        <v>11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>
        <f>S12*D14</f>
        <v>5100000</v>
      </c>
      <c r="T13" s="2"/>
      <c r="U13" s="2"/>
    </row>
    <row r="14" spans="1:21" ht="15" x14ac:dyDescent="0.25">
      <c r="A14" t="s">
        <v>45</v>
      </c>
      <c r="B14" t="str">
        <f>CONCATENATE("Unit Cost Estimate",IF(C12="Fraction"," (Per 1%)",""))</f>
        <v>Unit Cost Estimate</v>
      </c>
      <c r="C14" t="str">
        <f>CONCATENATE(C13)</f>
        <v>USD</v>
      </c>
      <c r="D14">
        <f>IF(SUMPRODUCT(--(F14:U14&lt;&gt;"..."))=0,200,"N.A.")</f>
        <v>200</v>
      </c>
      <c r="E14" t="s">
        <v>11</v>
      </c>
      <c r="F14" t="s">
        <v>45</v>
      </c>
      <c r="G14" t="s">
        <v>45</v>
      </c>
      <c r="H14" t="s">
        <v>45</v>
      </c>
      <c r="I14" t="s">
        <v>45</v>
      </c>
      <c r="J14" t="s">
        <v>45</v>
      </c>
      <c r="K14" t="s">
        <v>45</v>
      </c>
      <c r="L14" t="s">
        <v>45</v>
      </c>
      <c r="M14" t="s">
        <v>45</v>
      </c>
      <c r="N14" t="s">
        <v>45</v>
      </c>
      <c r="O14" t="s">
        <v>45</v>
      </c>
      <c r="P14" t="s">
        <v>45</v>
      </c>
      <c r="Q14" t="s">
        <v>45</v>
      </c>
      <c r="R14" t="s">
        <v>45</v>
      </c>
      <c r="S14" t="s">
        <v>45</v>
      </c>
      <c r="T14" t="s">
        <v>45</v>
      </c>
      <c r="U14" t="s">
        <v>45</v>
      </c>
    </row>
    <row r="15" spans="1:21" ht="15" x14ac:dyDescent="0.25">
      <c r="A15" t="s">
        <v>50</v>
      </c>
      <c r="B15" t="str">
        <f>IF(B10="Latent Cure Program","Efficacy of Vaccination",IF(B10="Susceptible Vaccination Program","Efficacy of Vaccination",IF(B10="MDR Treatment Program","Efficacy of treatment (After Treatment Completion)",IF(B10="DS Treatment Program","Efficacy of treatment (After Treatment Completion)","..."))))</f>
        <v>Efficacy of treatment (After Treatment Completion)</v>
      </c>
      <c r="C15" t="str">
        <f>IF(B15&lt;&gt;"...","Unique","")</f>
        <v>Unique</v>
      </c>
      <c r="D15" t="str">
        <f>IF(B15&lt;&gt;"...",IF(SUMPRODUCT(--(F15:U15&lt;&gt;""))=0,1,"N.A."),"")</f>
        <v>N.A.</v>
      </c>
      <c r="E15" t="str">
        <f>IF(B15&lt;&gt;"...","OR","")</f>
        <v>OR</v>
      </c>
      <c r="U15" s="6">
        <f>2/3</f>
        <v>0.66666666666666663</v>
      </c>
    </row>
    <row r="16" spans="1:21" ht="15" x14ac:dyDescent="0.25">
      <c r="A16" t="s">
        <v>45</v>
      </c>
      <c r="B16" t="str">
        <f>IF(B10="Latent Cure Program","...",IF(B10="Susceptible Vaccination Program","...",IF(B10="MDR Treatment Program","Adherence Probability (Yearly)",IF(B10="DS Treatment Program","Adherence Probability (Yearly)","..."))))</f>
        <v>Adherence Probability (Yearly)</v>
      </c>
      <c r="C16" t="str">
        <f>IF(B16&lt;&gt;"...","Unique","")</f>
        <v>Unique</v>
      </c>
      <c r="D16" t="str">
        <f>IF(B16&lt;&gt;"...",IF(SUMPRODUCT(--(F16:U16&lt;&gt;""))=0,0.2,"N.A."),"")</f>
        <v>N.A.</v>
      </c>
      <c r="E16" t="str">
        <f>IF(B16&lt;&gt;"...","OR","")</f>
        <v>OR</v>
      </c>
      <c r="S16">
        <v>0.5</v>
      </c>
    </row>
    <row r="17" spans="1:21" ht="15" x14ac:dyDescent="0.25">
      <c r="A17" t="s">
        <v>45</v>
      </c>
      <c r="B17" t="str">
        <f>IF(B10="Latent Cure Program","...",IF(B10="Susceptible Vaccination Program","...",IF(B10="MDR Treatment Program","Treatment Duration (Months)",IF(B10="DS Treatment Program","Treatment Duration (Months)","..."))))</f>
        <v>Treatment Duration (Months)</v>
      </c>
      <c r="C17" t="str">
        <f>IF(B17&lt;&gt;"...","Unique","")</f>
        <v>Unique</v>
      </c>
      <c r="D17">
        <f>IF(B17&lt;&gt;"...",IF(SUMPRODUCT(--(F17:U17&lt;&gt;""))=0,18,"N.A."),"")</f>
        <v>18</v>
      </c>
      <c r="E17" t="str">
        <f>IF(B17&lt;&gt;"...","OR","")</f>
        <v>OR</v>
      </c>
    </row>
    <row r="19" spans="1:21" ht="15" x14ac:dyDescent="0.25">
      <c r="A19" t="str">
        <f>'Program Definitions'!$A$4</f>
        <v>Susceptible Vaccination Program</v>
      </c>
      <c r="B19" t="s">
        <v>52</v>
      </c>
    </row>
    <row r="20" spans="1:21" ht="15" x14ac:dyDescent="0.25">
      <c r="A20" t="s">
        <v>45</v>
      </c>
      <c r="C20" t="s">
        <v>7</v>
      </c>
      <c r="D20" t="s">
        <v>8</v>
      </c>
      <c r="F20">
        <v>2000</v>
      </c>
      <c r="G20">
        <v>2001</v>
      </c>
      <c r="H20">
        <v>2002</v>
      </c>
      <c r="I20">
        <v>2003</v>
      </c>
      <c r="J20">
        <v>2004</v>
      </c>
      <c r="K20">
        <v>2005</v>
      </c>
      <c r="L20">
        <v>2006</v>
      </c>
      <c r="M20">
        <v>2007</v>
      </c>
      <c r="N20">
        <v>2008</v>
      </c>
      <c r="O20">
        <v>2009</v>
      </c>
      <c r="P20">
        <v>2010</v>
      </c>
      <c r="Q20">
        <v>2011</v>
      </c>
      <c r="R20">
        <v>2012</v>
      </c>
      <c r="S20">
        <v>2013</v>
      </c>
      <c r="T20">
        <v>2014</v>
      </c>
      <c r="U20">
        <v>2015</v>
      </c>
    </row>
    <row r="21" spans="1:21" ht="15" x14ac:dyDescent="0.25">
      <c r="A21" t="s">
        <v>46</v>
      </c>
      <c r="B21" t="s">
        <v>47</v>
      </c>
      <c r="C21" t="s">
        <v>9</v>
      </c>
      <c r="D21" t="str">
        <f>IF(SUMPRODUCT(--(F21:U21&lt;&gt;""))=0,0,"N.A.")</f>
        <v>N.A.</v>
      </c>
      <c r="E21" t="s">
        <v>11</v>
      </c>
      <c r="F21">
        <v>0.01</v>
      </c>
    </row>
    <row r="22" spans="1:21" ht="15" x14ac:dyDescent="0.25">
      <c r="A22" t="s">
        <v>45</v>
      </c>
      <c r="B22" t="s">
        <v>48</v>
      </c>
      <c r="C22" t="s">
        <v>49</v>
      </c>
      <c r="D22" t="str">
        <f>IF(SUMPRODUCT(--(F22:U22&lt;&gt;""))=0,0,"N.A.")</f>
        <v>N.A.</v>
      </c>
      <c r="E22" t="s">
        <v>11</v>
      </c>
      <c r="F22">
        <f>F21*'General Demographics'!C2*D23</f>
        <v>10500</v>
      </c>
      <c r="K22" s="2"/>
    </row>
    <row r="23" spans="1:21" ht="15" x14ac:dyDescent="0.25">
      <c r="A23" t="s">
        <v>45</v>
      </c>
      <c r="B23" t="str">
        <f>CONCATENATE("Unit Cost Estimate",IF(C21="Fraction"," (Per 1%)",""))</f>
        <v>Unit Cost Estimate (Per 1%)</v>
      </c>
      <c r="C23" t="str">
        <f>CONCATENATE(C22)</f>
        <v>USD</v>
      </c>
      <c r="D23">
        <f>IF(SUMPRODUCT(--(F23:U23&lt;&gt;"..."))=0,10.5,"N.A.")</f>
        <v>10.5</v>
      </c>
      <c r="E23" t="s">
        <v>11</v>
      </c>
      <c r="F23" t="s">
        <v>45</v>
      </c>
      <c r="G23" t="s">
        <v>45</v>
      </c>
      <c r="H23" t="s">
        <v>45</v>
      </c>
      <c r="I23" t="s">
        <v>45</v>
      </c>
      <c r="J23" t="s">
        <v>45</v>
      </c>
      <c r="K23" t="s">
        <v>45</v>
      </c>
      <c r="L23" t="s">
        <v>45</v>
      </c>
      <c r="M23" t="s">
        <v>45</v>
      </c>
      <c r="N23" t="s">
        <v>45</v>
      </c>
      <c r="O23" t="s">
        <v>45</v>
      </c>
      <c r="P23" t="s">
        <v>45</v>
      </c>
      <c r="Q23" t="s">
        <v>45</v>
      </c>
      <c r="R23" t="s">
        <v>45</v>
      </c>
      <c r="S23" t="s">
        <v>45</v>
      </c>
      <c r="T23" t="s">
        <v>45</v>
      </c>
      <c r="U23" t="s">
        <v>45</v>
      </c>
    </row>
    <row r="24" spans="1:21" ht="15" x14ac:dyDescent="0.25">
      <c r="A24" t="s">
        <v>50</v>
      </c>
      <c r="B24" t="str">
        <f>IF(B19="Latent Cure Program","Efficacy of Vaccination",IF(B19="Susceptible Vaccination Program","Efficacy of Vaccination",IF(B19="MDR Treatment Program","Efficacy of treatment (After Treatment Completion)",IF(B19="DS Treatment Program","Efficacy of treatment (After Treatment Completion)","..."))))</f>
        <v>Efficacy of Vaccination</v>
      </c>
      <c r="C24" t="str">
        <f>IF(B24&lt;&gt;"...","Unique","")</f>
        <v>Unique</v>
      </c>
      <c r="D24">
        <f>IF(B24&lt;&gt;"...",IF(SUMPRODUCT(--(F24:U24&lt;&gt;""))=0,0.5,"N.A."),"")</f>
        <v>0.5</v>
      </c>
      <c r="E24" t="str">
        <f>IF(B24&lt;&gt;"...","OR","")</f>
        <v>OR</v>
      </c>
    </row>
    <row r="25" spans="1:21" ht="15" x14ac:dyDescent="0.25">
      <c r="A25" t="s">
        <v>45</v>
      </c>
      <c r="B25" t="str">
        <f>IF(B19="Latent Cure Program","...",IF(B19="Susceptible Vaccination Program","...",IF(B19="MDR Treatment Program","Adherence Probability (Yearly)",IF(B19="DS Treatment Program","Adherence Probability (Yearly)","..."))))</f>
        <v>...</v>
      </c>
      <c r="C25" t="str">
        <f>IF(B25&lt;&gt;"...","Unique","")</f>
        <v/>
      </c>
      <c r="D25" t="str">
        <f>IF(B25&lt;&gt;"...",IF(SUMPRODUCT(--(F25:U25&lt;&gt;""))=0,0,"N.A."),"")</f>
        <v/>
      </c>
      <c r="E25" t="str">
        <f>IF(B25&lt;&gt;"...","OR","")</f>
        <v/>
      </c>
    </row>
    <row r="26" spans="1:21" x14ac:dyDescent="0.55000000000000004">
      <c r="A26" t="s">
        <v>45</v>
      </c>
      <c r="B26" t="str">
        <f>IF(B19="Latent Cure Program","...",IF(B19="Susceptible Vaccination Program","...",IF(B19="MDR Treatment Program","Treatment Duration (Months)",IF(B19="DS Treatment Program","Treatment Duration (Months)","..."))))</f>
        <v>...</v>
      </c>
      <c r="C26" t="str">
        <f>IF(B26&lt;&gt;"...","Unique","")</f>
        <v/>
      </c>
      <c r="D26" t="str">
        <f>IF(B26&lt;&gt;"...",IF(SUMPRODUCT(--(F26:U26&lt;&gt;""))=0,0,"N.A."),"")</f>
        <v/>
      </c>
      <c r="E26" t="str">
        <f>IF(B26&lt;&gt;"...","OR","")</f>
        <v/>
      </c>
    </row>
    <row r="28" spans="1:21" x14ac:dyDescent="0.55000000000000004">
      <c r="A28" t="str">
        <f>'Program Definitions'!$A$5</f>
        <v>Latent Cure Program</v>
      </c>
      <c r="B28" t="s">
        <v>53</v>
      </c>
    </row>
    <row r="29" spans="1:21" x14ac:dyDescent="0.55000000000000004">
      <c r="A29" t="s">
        <v>45</v>
      </c>
      <c r="C29" t="s">
        <v>7</v>
      </c>
      <c r="D29" t="s">
        <v>8</v>
      </c>
      <c r="F29">
        <v>2000</v>
      </c>
      <c r="G29">
        <v>2001</v>
      </c>
      <c r="H29">
        <v>2002</v>
      </c>
      <c r="I29">
        <v>2003</v>
      </c>
      <c r="J29">
        <v>2004</v>
      </c>
      <c r="K29">
        <v>2005</v>
      </c>
      <c r="L29">
        <v>2006</v>
      </c>
      <c r="M29">
        <v>2007</v>
      </c>
      <c r="N29">
        <v>2008</v>
      </c>
      <c r="O29">
        <v>2009</v>
      </c>
      <c r="P29">
        <v>2010</v>
      </c>
      <c r="Q29">
        <v>2011</v>
      </c>
      <c r="R29">
        <v>2012</v>
      </c>
      <c r="S29">
        <v>2013</v>
      </c>
      <c r="T29">
        <v>2014</v>
      </c>
      <c r="U29">
        <v>2015</v>
      </c>
    </row>
    <row r="30" spans="1:21" x14ac:dyDescent="0.55000000000000004">
      <c r="A30" t="s">
        <v>46</v>
      </c>
      <c r="B30" t="s">
        <v>47</v>
      </c>
      <c r="C30" t="s">
        <v>10</v>
      </c>
      <c r="D30" t="str">
        <f>IF(SUMPRODUCT(--(F30:U30&lt;&gt;""))=0,0,"N.A.")</f>
        <v>N.A.</v>
      </c>
      <c r="E30" t="s">
        <v>11</v>
      </c>
      <c r="O30">
        <v>0</v>
      </c>
      <c r="U30">
        <v>0.9</v>
      </c>
    </row>
    <row r="31" spans="1:21" x14ac:dyDescent="0.55000000000000004">
      <c r="A31" t="s">
        <v>45</v>
      </c>
      <c r="B31" t="s">
        <v>48</v>
      </c>
      <c r="C31" t="s">
        <v>49</v>
      </c>
      <c r="D31" t="str">
        <f>IF(SUMPRODUCT(--(F31:U31&lt;&gt;""))=0,0,"N.A.")</f>
        <v>N.A.</v>
      </c>
      <c r="E31" t="s">
        <v>11</v>
      </c>
      <c r="O31">
        <v>0</v>
      </c>
      <c r="P31" s="1"/>
      <c r="U31" s="1">
        <f>U30/0.01*$D$32</f>
        <v>4500</v>
      </c>
    </row>
    <row r="32" spans="1:21" x14ac:dyDescent="0.55000000000000004">
      <c r="A32" t="s">
        <v>45</v>
      </c>
      <c r="B32" t="str">
        <f>CONCATENATE("Unit Cost Estimate",IF(C30="Fraction"," (Per 1%)",""))</f>
        <v>Unit Cost Estimate</v>
      </c>
      <c r="C32" t="str">
        <f>CONCATENATE(C31)</f>
        <v>USD</v>
      </c>
      <c r="D32">
        <f>IF(SUMPRODUCT(--(F32:U32&lt;&gt;"..."))=0,50,"N.A.")</f>
        <v>50</v>
      </c>
      <c r="E32" t="s">
        <v>11</v>
      </c>
      <c r="F32" t="s">
        <v>45</v>
      </c>
      <c r="G32" t="s">
        <v>45</v>
      </c>
      <c r="H32" t="s">
        <v>45</v>
      </c>
      <c r="I32" t="s">
        <v>45</v>
      </c>
      <c r="J32" t="s">
        <v>45</v>
      </c>
      <c r="K32" t="s">
        <v>45</v>
      </c>
      <c r="L32" t="s">
        <v>45</v>
      </c>
      <c r="M32" t="s">
        <v>45</v>
      </c>
      <c r="N32" t="s">
        <v>45</v>
      </c>
      <c r="O32" t="s">
        <v>45</v>
      </c>
      <c r="P32" t="s">
        <v>45</v>
      </c>
      <c r="Q32" t="s">
        <v>45</v>
      </c>
      <c r="R32" t="s">
        <v>45</v>
      </c>
      <c r="S32" t="s">
        <v>45</v>
      </c>
      <c r="T32" t="s">
        <v>45</v>
      </c>
      <c r="U32" t="s">
        <v>45</v>
      </c>
    </row>
    <row r="33" spans="1:5" x14ac:dyDescent="0.55000000000000004">
      <c r="A33" t="s">
        <v>50</v>
      </c>
      <c r="B33" t="str">
        <f>IF(B28="Latent Cure Program","Efficacy of Vaccination",IF(B28="Susceptible Vaccination Program","Efficacy of Vaccination",IF(B28="MDR Treatment Program","Efficacy of treatment (After Treatment Completion)",IF(B28="DS Treatment Program","Efficacy of treatment (After Treatment Completion)","..."))))</f>
        <v>Efficacy of Vaccination</v>
      </c>
      <c r="C33" t="str">
        <f>IF(B33&lt;&gt;"...","Unique","")</f>
        <v>Unique</v>
      </c>
      <c r="D33">
        <f>IF(B33&lt;&gt;"...",IF(SUMPRODUCT(--(F33:U33&lt;&gt;""))=0,0.2,"N.A."),"")</f>
        <v>0.2</v>
      </c>
      <c r="E33" t="str">
        <f>IF(B33&lt;&gt;"...","OR","")</f>
        <v>OR</v>
      </c>
    </row>
    <row r="34" spans="1:5" x14ac:dyDescent="0.55000000000000004">
      <c r="A34" t="s">
        <v>45</v>
      </c>
      <c r="B34" t="str">
        <f>IF(B28="Latent Cure Program","...",IF(B28="Susceptible Vaccination Program","...",IF(B28="MDR Treatment Program","Adherence Probability (Yearly)",IF(B28="DS Treatment Program","Adherence Probability (Yearly)","..."))))</f>
        <v>...</v>
      </c>
      <c r="C34" t="str">
        <f>IF(B34&lt;&gt;"...","Unique","")</f>
        <v/>
      </c>
      <c r="D34" t="str">
        <f>IF(B34&lt;&gt;"...",IF(SUMPRODUCT(--(F34:U34&lt;&gt;""))=0,0,"N.A."),"")</f>
        <v/>
      </c>
      <c r="E34" t="str">
        <f>IF(B34&lt;&gt;"...","OR","")</f>
        <v/>
      </c>
    </row>
    <row r="35" spans="1:5" x14ac:dyDescent="0.55000000000000004">
      <c r="A35" t="s">
        <v>45</v>
      </c>
      <c r="B35" t="str">
        <f>IF(B28="Latent Cure Program","...",IF(B28="Susceptible Vaccination Program","...",IF(B28="MDR Treatment Program","Treatment Duration (Months)",IF(B28="DS Treatment Program","Treatment Duration (Months)","..."))))</f>
        <v>...</v>
      </c>
      <c r="C35" t="str">
        <f>IF(B35&lt;&gt;"...","Unique","")</f>
        <v/>
      </c>
      <c r="D35" t="str">
        <f>IF(B35&lt;&gt;"...",IF(SUMPRODUCT(--(F35:U35&lt;&gt;""))=0,0,"N.A."),"")</f>
        <v/>
      </c>
      <c r="E35" t="str">
        <f>IF(B35&lt;&gt;"...","OR","")</f>
        <v/>
      </c>
    </row>
  </sheetData>
  <dataValidations count="9">
    <dataValidation type="list" showInputMessage="1" showErrorMessage="1" sqref="C33:C35 C24:C26 C15:C17 C6:C8">
      <formula1>"Unique"</formula1>
    </dataValidation>
    <dataValidation type="list" showInputMessage="1" showErrorMessage="1" sqref="F32:U32 F23:U23 F14:U14 F5:U5">
      <formula1>"..."</formula1>
    </dataValidation>
    <dataValidation type="list" showInputMessage="1" showErrorMessage="1" sqref="C32">
      <formula1>"=CONCATENATE(C31)"</formula1>
    </dataValidation>
    <dataValidation type="list" showInputMessage="1" showErrorMessage="1" sqref="C31 C22 C13 C4">
      <formula1>"USD"</formula1>
    </dataValidation>
    <dataValidation type="list" showInputMessage="1" showErrorMessage="1" sqref="C30 C21 C12 C3">
      <formula1>"Number,Fraction"</formula1>
    </dataValidation>
    <dataValidation type="list" showInputMessage="1" showErrorMessage="1" sqref="B28 B19 B10 B1">
      <formula1>"DS Treatment Program,MDR Treatment Program,Susceptible Vaccination Program,Latent Cure Program"</formula1>
    </dataValidation>
    <dataValidation type="list" showInputMessage="1" showErrorMessage="1" sqref="C23">
      <formula1>"=CONCATENATE(C22)"</formula1>
    </dataValidation>
    <dataValidation type="list" showInputMessage="1" showErrorMessage="1" sqref="C14">
      <formula1>"=CONCATENATE(C13)"</formula1>
    </dataValidation>
    <dataValidation type="list" showInputMessage="1" showErrorMessage="1" sqref="C5">
      <formula1>"=CONCATENATE(C4)"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C1" sqref="C1"/>
    </sheetView>
  </sheetViews>
  <sheetFormatPr defaultRowHeight="14.4" x14ac:dyDescent="0.55000000000000004"/>
  <cols>
    <col min="1" max="1" width="60.68359375" customWidth="1"/>
    <col min="2" max="3" width="10.68359375" customWidth="1"/>
  </cols>
  <sheetData>
    <row r="1" spans="1:20" ht="15" x14ac:dyDescent="0.25">
      <c r="A1" t="s">
        <v>13</v>
      </c>
      <c r="B1" t="s">
        <v>7</v>
      </c>
      <c r="C1" t="s">
        <v>8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ht="15" x14ac:dyDescent="0.25">
      <c r="A2" t="str">
        <f>'Population Definitions'!$A$2</f>
        <v>Children 0-14</v>
      </c>
      <c r="B2" t="s">
        <v>10</v>
      </c>
      <c r="C2">
        <f>IF(SUMPRODUCT(--(E2:T2&lt;&gt;""))=0,100000,"N.A.")</f>
        <v>100000</v>
      </c>
      <c r="D2" t="s">
        <v>11</v>
      </c>
    </row>
    <row r="3" spans="1:20" ht="15" x14ac:dyDescent="0.25">
      <c r="A3" t="str">
        <f>'Population Definitions'!$A$3</f>
        <v>Adults 15-49</v>
      </c>
      <c r="B3" t="s">
        <v>10</v>
      </c>
      <c r="C3">
        <f>IF(SUMPRODUCT(--(E3:T3&lt;&gt;""))=0,500000,"N.A.")</f>
        <v>500000</v>
      </c>
      <c r="D3" t="s">
        <v>11</v>
      </c>
    </row>
    <row r="4" spans="1:20" ht="15" x14ac:dyDescent="0.25">
      <c r="A4" t="str">
        <f>'Population Definitions'!$A$4</f>
        <v>Adults 50+</v>
      </c>
      <c r="B4" t="s">
        <v>10</v>
      </c>
      <c r="C4">
        <f>IF(SUMPRODUCT(--(E4:T4&lt;&gt;""))=0,10000,"N.A.")</f>
        <v>10000</v>
      </c>
      <c r="D4" t="s">
        <v>11</v>
      </c>
    </row>
    <row r="5" spans="1:20" ht="15" x14ac:dyDescent="0.25">
      <c r="A5" t="str">
        <f>'Population Definitions'!$A$5</f>
        <v>Prisoners</v>
      </c>
      <c r="B5" t="s">
        <v>10</v>
      </c>
      <c r="C5">
        <f>IF(SUMPRODUCT(--(E5:T5&lt;&gt;""))=0,0,"N.A.")</f>
        <v>0</v>
      </c>
      <c r="D5" t="s">
        <v>11</v>
      </c>
    </row>
    <row r="7" spans="1:20" ht="15" x14ac:dyDescent="0.25">
      <c r="A7" t="s">
        <v>14</v>
      </c>
      <c r="B7" t="s">
        <v>7</v>
      </c>
      <c r="C7" t="s">
        <v>8</v>
      </c>
      <c r="E7">
        <v>2000</v>
      </c>
      <c r="F7">
        <v>2001</v>
      </c>
      <c r="G7">
        <v>2002</v>
      </c>
      <c r="H7">
        <v>2003</v>
      </c>
      <c r="I7">
        <v>2004</v>
      </c>
      <c r="J7">
        <v>2005</v>
      </c>
      <c r="K7">
        <v>2006</v>
      </c>
      <c r="L7">
        <v>2007</v>
      </c>
      <c r="M7">
        <v>2008</v>
      </c>
      <c r="N7">
        <v>2009</v>
      </c>
      <c r="O7">
        <v>2010</v>
      </c>
      <c r="P7">
        <v>2011</v>
      </c>
      <c r="Q7">
        <v>2012</v>
      </c>
      <c r="R7">
        <v>2013</v>
      </c>
      <c r="S7">
        <v>2014</v>
      </c>
      <c r="T7">
        <v>2015</v>
      </c>
    </row>
    <row r="8" spans="1:20" ht="15" x14ac:dyDescent="0.25">
      <c r="A8" t="str">
        <f>'Population Definitions'!$A$2</f>
        <v>Children 0-14</v>
      </c>
      <c r="B8" t="s">
        <v>10</v>
      </c>
      <c r="C8">
        <f>IF(SUMPRODUCT(--(E8:T8&lt;&gt;""))=0,0,"N.A.")</f>
        <v>0</v>
      </c>
      <c r="D8" t="s">
        <v>11</v>
      </c>
    </row>
    <row r="9" spans="1:20" ht="15" x14ac:dyDescent="0.25">
      <c r="A9" t="str">
        <f>'Population Definitions'!$A$3</f>
        <v>Adults 15-49</v>
      </c>
      <c r="B9" t="s">
        <v>10</v>
      </c>
      <c r="C9">
        <f>IF(SUMPRODUCT(--(E9:T9&lt;&gt;""))=0,0,"N.A.")</f>
        <v>0</v>
      </c>
      <c r="D9" t="s">
        <v>11</v>
      </c>
    </row>
    <row r="10" spans="1:20" ht="15" x14ac:dyDescent="0.25">
      <c r="A10" t="str">
        <f>'Population Definitions'!$A$4</f>
        <v>Adults 50+</v>
      </c>
      <c r="B10" t="s">
        <v>10</v>
      </c>
      <c r="C10">
        <f>IF(SUMPRODUCT(--(E10:T10&lt;&gt;""))=0,0,"N.A.")</f>
        <v>0</v>
      </c>
      <c r="D10" t="s">
        <v>11</v>
      </c>
    </row>
    <row r="11" spans="1:20" ht="15" x14ac:dyDescent="0.25">
      <c r="A11" t="str">
        <f>'Population Definitions'!$A$5</f>
        <v>Prisoners</v>
      </c>
      <c r="B11" t="s">
        <v>10</v>
      </c>
      <c r="C11">
        <f>IF(SUMPRODUCT(--(E11:T11&lt;&gt;""))=0,0,"N.A.")</f>
        <v>0</v>
      </c>
      <c r="D11" t="s">
        <v>11</v>
      </c>
    </row>
    <row r="13" spans="1:20" ht="15" x14ac:dyDescent="0.25">
      <c r="A13" t="s">
        <v>17</v>
      </c>
      <c r="B13" t="s">
        <v>7</v>
      </c>
      <c r="C13" t="s">
        <v>8</v>
      </c>
      <c r="E13">
        <v>2000</v>
      </c>
      <c r="F13">
        <v>2001</v>
      </c>
      <c r="G13">
        <v>2002</v>
      </c>
      <c r="H13">
        <v>2003</v>
      </c>
      <c r="I13">
        <v>2004</v>
      </c>
      <c r="J13">
        <v>2005</v>
      </c>
      <c r="K13">
        <v>2006</v>
      </c>
      <c r="L13">
        <v>2007</v>
      </c>
      <c r="M13">
        <v>2008</v>
      </c>
      <c r="N13">
        <v>2009</v>
      </c>
      <c r="O13">
        <v>2010</v>
      </c>
      <c r="P13">
        <v>2011</v>
      </c>
      <c r="Q13">
        <v>2012</v>
      </c>
      <c r="R13">
        <v>2013</v>
      </c>
      <c r="S13">
        <v>2014</v>
      </c>
      <c r="T13">
        <v>2015</v>
      </c>
    </row>
    <row r="14" spans="1:20" ht="15" x14ac:dyDescent="0.25">
      <c r="A14" t="str">
        <f>'Population Definitions'!$A$2</f>
        <v>Children 0-14</v>
      </c>
      <c r="B14" t="s">
        <v>10</v>
      </c>
      <c r="C14">
        <f>IF(SUMPRODUCT(--(E14:T14&lt;&gt;""))=0,5000,"N.A.")</f>
        <v>5000</v>
      </c>
      <c r="D14" t="s">
        <v>11</v>
      </c>
    </row>
    <row r="15" spans="1:20" ht="15" x14ac:dyDescent="0.25">
      <c r="A15" t="str">
        <f>'Population Definitions'!$A$3</f>
        <v>Adults 15-49</v>
      </c>
      <c r="B15" t="s">
        <v>9</v>
      </c>
      <c r="C15">
        <f>IF(SUMPRODUCT(--(E15:T15&lt;&gt;""))=0,0,"N.A.")</f>
        <v>0</v>
      </c>
      <c r="D15" t="s">
        <v>11</v>
      </c>
    </row>
    <row r="16" spans="1:20" ht="15" x14ac:dyDescent="0.25">
      <c r="A16" t="str">
        <f>'Population Definitions'!$A$4</f>
        <v>Adults 50+</v>
      </c>
      <c r="B16" t="s">
        <v>9</v>
      </c>
      <c r="C16">
        <f>IF(SUMPRODUCT(--(E16:T16&lt;&gt;""))=0,0,"N.A.")</f>
        <v>0</v>
      </c>
      <c r="D16" t="s">
        <v>11</v>
      </c>
    </row>
    <row r="17" spans="1:20" ht="15" x14ac:dyDescent="0.25">
      <c r="A17" t="str">
        <f>'Population Definitions'!$A$5</f>
        <v>Prisoners</v>
      </c>
      <c r="B17" t="s">
        <v>9</v>
      </c>
      <c r="C17">
        <f>IF(SUMPRODUCT(--(E17:T17&lt;&gt;""))=0,0,"N.A.")</f>
        <v>0</v>
      </c>
      <c r="D17" t="s">
        <v>11</v>
      </c>
    </row>
    <row r="19" spans="1:20" ht="15" x14ac:dyDescent="0.25">
      <c r="A19" t="s">
        <v>20</v>
      </c>
      <c r="B19" t="s">
        <v>7</v>
      </c>
      <c r="C19" t="s">
        <v>8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ht="15" x14ac:dyDescent="0.25">
      <c r="A20" t="str">
        <f>'Population Definitions'!$A$2</f>
        <v>Children 0-14</v>
      </c>
      <c r="B20" t="s">
        <v>9</v>
      </c>
      <c r="C20">
        <f>IF(SUMPRODUCT(--(E20:T20&lt;&gt;""))=0,0.1,"N.A.")</f>
        <v>0.1</v>
      </c>
      <c r="D20" t="s">
        <v>11</v>
      </c>
    </row>
    <row r="21" spans="1:20" ht="15" x14ac:dyDescent="0.25">
      <c r="A21" t="str">
        <f>'Population Definitions'!$A$3</f>
        <v>Adults 15-49</v>
      </c>
      <c r="B21" t="s">
        <v>9</v>
      </c>
      <c r="C21">
        <f>IF(SUMPRODUCT(--(E21:T21&lt;&gt;""))=0,0,"N.A.")</f>
        <v>0</v>
      </c>
      <c r="D21" t="s">
        <v>11</v>
      </c>
    </row>
    <row r="22" spans="1:20" ht="15" x14ac:dyDescent="0.25">
      <c r="A22" t="str">
        <f>'Population Definitions'!$A$4</f>
        <v>Adults 50+</v>
      </c>
      <c r="B22" t="s">
        <v>9</v>
      </c>
      <c r="C22">
        <f>IF(SUMPRODUCT(--(E22:T22&lt;&gt;""))=0,0,"N.A.")</f>
        <v>0</v>
      </c>
      <c r="D22" t="s">
        <v>11</v>
      </c>
    </row>
    <row r="23" spans="1:20" ht="15" x14ac:dyDescent="0.25">
      <c r="A23" t="str">
        <f>'Population Definitions'!$A$5</f>
        <v>Prisoners</v>
      </c>
      <c r="B23" t="s">
        <v>9</v>
      </c>
      <c r="C23">
        <f>IF(SUMPRODUCT(--(E23:T23&lt;&gt;""))=0,0,"N.A.")</f>
        <v>0</v>
      </c>
      <c r="D23" t="s">
        <v>11</v>
      </c>
    </row>
    <row r="25" spans="1:20" ht="15" x14ac:dyDescent="0.25">
      <c r="A25" t="s">
        <v>25</v>
      </c>
      <c r="B25" t="s">
        <v>7</v>
      </c>
      <c r="C25" t="s">
        <v>8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55000000000000004">
      <c r="A26" t="str">
        <f>'Population Definitions'!$A$2</f>
        <v>Children 0-14</v>
      </c>
      <c r="B26" t="s">
        <v>9</v>
      </c>
      <c r="C26">
        <f>IF(SUMPRODUCT(--(E26:T26&lt;&gt;""))=0,0.1,"N.A.")</f>
        <v>0.1</v>
      </c>
      <c r="D26" t="s">
        <v>11</v>
      </c>
    </row>
    <row r="27" spans="1:20" x14ac:dyDescent="0.55000000000000004">
      <c r="A27" t="str">
        <f>'Population Definitions'!$A$3</f>
        <v>Adults 15-49</v>
      </c>
      <c r="B27" t="s">
        <v>9</v>
      </c>
      <c r="C27">
        <f t="shared" ref="C27:C29" si="0">IF(SUMPRODUCT(--(E27:T27&lt;&gt;""))=0,0.1,"N.A.")</f>
        <v>0.1</v>
      </c>
      <c r="D27" t="s">
        <v>11</v>
      </c>
    </row>
    <row r="28" spans="1:20" x14ac:dyDescent="0.55000000000000004">
      <c r="A28" t="str">
        <f>'Population Definitions'!$A$4</f>
        <v>Adults 50+</v>
      </c>
      <c r="B28" t="s">
        <v>9</v>
      </c>
      <c r="C28">
        <f t="shared" si="0"/>
        <v>0.1</v>
      </c>
      <c r="D28" t="s">
        <v>11</v>
      </c>
    </row>
    <row r="29" spans="1:20" x14ac:dyDescent="0.55000000000000004">
      <c r="A29" t="str">
        <f>'Population Definitions'!$A$5</f>
        <v>Prisoners</v>
      </c>
      <c r="B29" t="s">
        <v>9</v>
      </c>
      <c r="C29">
        <f t="shared" si="0"/>
        <v>0.1</v>
      </c>
      <c r="D29" t="s">
        <v>11</v>
      </c>
    </row>
  </sheetData>
  <dataValidations count="20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8">
      <formula1>"Number"</formula1>
    </dataValidation>
    <dataValidation type="list" showInputMessage="1" showErrorMessage="1" sqref="B9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6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/>
  </sheetViews>
  <sheetFormatPr defaultRowHeight="14.4" x14ac:dyDescent="0.55000000000000004"/>
  <cols>
    <col min="1" max="1" width="60.68359375" customWidth="1"/>
    <col min="2" max="3" width="10.68359375" customWidth="1"/>
  </cols>
  <sheetData>
    <row r="1" spans="1:20" ht="15" x14ac:dyDescent="0.25">
      <c r="A1" t="s">
        <v>18</v>
      </c>
      <c r="B1" t="s">
        <v>7</v>
      </c>
      <c r="C1" t="s">
        <v>8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ht="15" x14ac:dyDescent="0.25">
      <c r="A2" t="str">
        <f>'Population Definitions'!$A$2</f>
        <v>Children 0-14</v>
      </c>
      <c r="B2" t="s">
        <v>9</v>
      </c>
      <c r="C2">
        <f>IF(SUMPRODUCT(--(E2:T2&lt;&gt;""))=0,0.2001*0.177,"N.A.")</f>
        <v>3.5417699999999996E-2</v>
      </c>
      <c r="D2" t="s">
        <v>11</v>
      </c>
    </row>
    <row r="3" spans="1:20" ht="15" x14ac:dyDescent="0.25">
      <c r="A3" t="str">
        <f>'Population Definitions'!$A$3</f>
        <v>Adults 15-49</v>
      </c>
      <c r="B3" t="s">
        <v>9</v>
      </c>
      <c r="C3">
        <f t="shared" ref="C3:C5" si="0">IF(SUMPRODUCT(--(E3:T3&lt;&gt;""))=0,0.2001*0.177,"N.A.")</f>
        <v>3.5417699999999996E-2</v>
      </c>
      <c r="D3" t="s">
        <v>11</v>
      </c>
    </row>
    <row r="4" spans="1:20" ht="15" x14ac:dyDescent="0.25">
      <c r="A4" t="str">
        <f>'Population Definitions'!$A$4</f>
        <v>Adults 50+</v>
      </c>
      <c r="B4" t="s">
        <v>9</v>
      </c>
      <c r="C4">
        <f t="shared" si="0"/>
        <v>3.5417699999999996E-2</v>
      </c>
      <c r="D4" t="s">
        <v>11</v>
      </c>
    </row>
    <row r="5" spans="1:20" ht="15" x14ac:dyDescent="0.25">
      <c r="A5" t="str">
        <f>'Population Definitions'!$A$5</f>
        <v>Prisoners</v>
      </c>
      <c r="B5" t="s">
        <v>9</v>
      </c>
      <c r="C5">
        <f t="shared" si="0"/>
        <v>3.5417699999999996E-2</v>
      </c>
      <c r="D5" t="s">
        <v>11</v>
      </c>
    </row>
    <row r="7" spans="1:20" ht="15" x14ac:dyDescent="0.25">
      <c r="A7" t="s">
        <v>21</v>
      </c>
      <c r="B7" t="s">
        <v>7</v>
      </c>
      <c r="C7" t="s">
        <v>8</v>
      </c>
      <c r="E7">
        <v>2000</v>
      </c>
      <c r="F7">
        <v>2001</v>
      </c>
      <c r="G7">
        <v>2002</v>
      </c>
      <c r="H7">
        <v>2003</v>
      </c>
      <c r="I7">
        <v>2004</v>
      </c>
      <c r="J7">
        <v>2005</v>
      </c>
      <c r="K7">
        <v>2006</v>
      </c>
      <c r="L7">
        <v>2007</v>
      </c>
      <c r="M7">
        <v>2008</v>
      </c>
      <c r="N7">
        <v>2009</v>
      </c>
      <c r="O7">
        <v>2010</v>
      </c>
      <c r="P7">
        <v>2011</v>
      </c>
      <c r="Q7">
        <v>2012</v>
      </c>
      <c r="R7">
        <v>2013</v>
      </c>
      <c r="S7">
        <v>2014</v>
      </c>
      <c r="T7">
        <v>2015</v>
      </c>
    </row>
    <row r="8" spans="1:20" ht="15" x14ac:dyDescent="0.25">
      <c r="A8" t="str">
        <f>'Population Definitions'!$A$2</f>
        <v>Children 0-14</v>
      </c>
      <c r="B8" t="s">
        <v>9</v>
      </c>
      <c r="C8">
        <f>IF(SUMPRODUCT(--(E8:T8&lt;&gt;""))=0,0.1,"N.A.")</f>
        <v>0.1</v>
      </c>
      <c r="D8" t="s">
        <v>11</v>
      </c>
    </row>
    <row r="9" spans="1:20" ht="15" x14ac:dyDescent="0.25">
      <c r="A9" t="str">
        <f>'Population Definitions'!$A$3</f>
        <v>Adults 15-49</v>
      </c>
      <c r="B9" t="s">
        <v>9</v>
      </c>
      <c r="C9">
        <f t="shared" ref="C9:C11" si="1">IF(SUMPRODUCT(--(E9:T9&lt;&gt;""))=0,0.1,"N.A.")</f>
        <v>0.1</v>
      </c>
      <c r="D9" t="s">
        <v>11</v>
      </c>
    </row>
    <row r="10" spans="1:20" ht="15" x14ac:dyDescent="0.25">
      <c r="A10" t="str">
        <f>'Population Definitions'!$A$4</f>
        <v>Adults 50+</v>
      </c>
      <c r="B10" t="s">
        <v>9</v>
      </c>
      <c r="C10">
        <f t="shared" si="1"/>
        <v>0.1</v>
      </c>
      <c r="D10" t="s">
        <v>11</v>
      </c>
    </row>
    <row r="11" spans="1:20" ht="15" x14ac:dyDescent="0.25">
      <c r="A11" t="str">
        <f>'Population Definitions'!$A$5</f>
        <v>Prisoners</v>
      </c>
      <c r="B11" t="s">
        <v>9</v>
      </c>
      <c r="C11">
        <f t="shared" si="1"/>
        <v>0.1</v>
      </c>
      <c r="D11" t="s">
        <v>11</v>
      </c>
    </row>
    <row r="13" spans="1:20" ht="15" x14ac:dyDescent="0.25">
      <c r="A13" t="s">
        <v>24</v>
      </c>
      <c r="B13" t="s">
        <v>7</v>
      </c>
      <c r="C13" t="s">
        <v>8</v>
      </c>
      <c r="E13">
        <v>2000</v>
      </c>
      <c r="F13">
        <v>2001</v>
      </c>
      <c r="G13">
        <v>2002</v>
      </c>
      <c r="H13">
        <v>2003</v>
      </c>
      <c r="I13">
        <v>2004</v>
      </c>
      <c r="J13">
        <v>2005</v>
      </c>
      <c r="K13">
        <v>2006</v>
      </c>
      <c r="L13">
        <v>2007</v>
      </c>
      <c r="M13">
        <v>2008</v>
      </c>
      <c r="N13">
        <v>2009</v>
      </c>
      <c r="O13">
        <v>2010</v>
      </c>
      <c r="P13">
        <v>2011</v>
      </c>
      <c r="Q13">
        <v>2012</v>
      </c>
      <c r="R13">
        <v>2013</v>
      </c>
      <c r="S13">
        <v>2014</v>
      </c>
      <c r="T13">
        <v>2015</v>
      </c>
    </row>
    <row r="14" spans="1:20" ht="15" x14ac:dyDescent="0.25">
      <c r="A14" t="str">
        <f>'Population Definitions'!$A$2</f>
        <v>Children 0-14</v>
      </c>
      <c r="B14" t="s">
        <v>23</v>
      </c>
      <c r="C14">
        <f>IF(SUMPRODUCT(--(E14:T14&lt;&gt;""))=0,0.8,"N.A.")</f>
        <v>0.8</v>
      </c>
      <c r="D14" t="s">
        <v>11</v>
      </c>
    </row>
    <row r="15" spans="1:20" ht="15" x14ac:dyDescent="0.25">
      <c r="A15" t="str">
        <f>'Population Definitions'!$A$3</f>
        <v>Adults 15-49</v>
      </c>
      <c r="B15" t="s">
        <v>23</v>
      </c>
      <c r="C15">
        <f t="shared" ref="C15:C17" si="2">IF(SUMPRODUCT(--(E15:T15&lt;&gt;""))=0,0.8,"N.A.")</f>
        <v>0.8</v>
      </c>
      <c r="D15" t="s">
        <v>11</v>
      </c>
    </row>
    <row r="16" spans="1:20" ht="15" x14ac:dyDescent="0.25">
      <c r="A16" t="str">
        <f>'Population Definitions'!$A$4</f>
        <v>Adults 50+</v>
      </c>
      <c r="B16" t="s">
        <v>23</v>
      </c>
      <c r="C16">
        <f t="shared" si="2"/>
        <v>0.8</v>
      </c>
      <c r="D16" t="s">
        <v>11</v>
      </c>
    </row>
    <row r="17" spans="1:20" ht="15" x14ac:dyDescent="0.25">
      <c r="A17" t="str">
        <f>'Population Definitions'!$A$5</f>
        <v>Prisoners</v>
      </c>
      <c r="B17" t="s">
        <v>23</v>
      </c>
      <c r="C17">
        <f t="shared" si="2"/>
        <v>0.8</v>
      </c>
      <c r="D17" t="s">
        <v>11</v>
      </c>
    </row>
    <row r="19" spans="1:20" ht="15" x14ac:dyDescent="0.25">
      <c r="A19" t="s">
        <v>27</v>
      </c>
      <c r="B19" t="s">
        <v>7</v>
      </c>
      <c r="C19" t="s">
        <v>8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ht="15" x14ac:dyDescent="0.25">
      <c r="A20" t="str">
        <f>'Population Definitions'!$A$2</f>
        <v>Children 0-14</v>
      </c>
      <c r="B20" t="s">
        <v>9</v>
      </c>
      <c r="C20" t="str">
        <f>IF(SUMPRODUCT(--(E20:T20&lt;&gt;""))=0,0.5,"N.A.")</f>
        <v>N.A.</v>
      </c>
      <c r="D20" t="s">
        <v>11</v>
      </c>
      <c r="E20">
        <v>0.5</v>
      </c>
      <c r="S20">
        <v>0.5</v>
      </c>
      <c r="T20">
        <v>0.6</v>
      </c>
    </row>
    <row r="21" spans="1:20" ht="15" x14ac:dyDescent="0.25">
      <c r="A21" t="str">
        <f>'Population Definitions'!$A$3</f>
        <v>Adults 15-49</v>
      </c>
      <c r="B21" t="s">
        <v>9</v>
      </c>
      <c r="C21" t="str">
        <f t="shared" ref="C21:C23" si="3">IF(SUMPRODUCT(--(E21:T21&lt;&gt;""))=0,0.5,"N.A.")</f>
        <v>N.A.</v>
      </c>
      <c r="D21" t="s">
        <v>11</v>
      </c>
      <c r="E21">
        <v>0.5</v>
      </c>
      <c r="S21">
        <v>0.5</v>
      </c>
      <c r="T21">
        <v>0.6</v>
      </c>
    </row>
    <row r="22" spans="1:20" ht="15" x14ac:dyDescent="0.25">
      <c r="A22" t="str">
        <f>'Population Definitions'!$A$4</f>
        <v>Adults 50+</v>
      </c>
      <c r="B22" t="s">
        <v>9</v>
      </c>
      <c r="C22" t="str">
        <f t="shared" si="3"/>
        <v>N.A.</v>
      </c>
      <c r="D22" t="s">
        <v>11</v>
      </c>
      <c r="E22">
        <v>0.5</v>
      </c>
      <c r="S22">
        <v>0.5</v>
      </c>
      <c r="T22">
        <v>0.6</v>
      </c>
    </row>
    <row r="23" spans="1:20" ht="15" x14ac:dyDescent="0.25">
      <c r="A23" t="str">
        <f>'Population Definitions'!$A$5</f>
        <v>Prisoners</v>
      </c>
      <c r="B23" t="s">
        <v>9</v>
      </c>
      <c r="C23" t="str">
        <f t="shared" si="3"/>
        <v>N.A.</v>
      </c>
      <c r="D23" t="s">
        <v>11</v>
      </c>
      <c r="E23">
        <v>0.5</v>
      </c>
      <c r="S23">
        <v>0.5</v>
      </c>
      <c r="T23">
        <v>0.6</v>
      </c>
    </row>
    <row r="25" spans="1:20" ht="15" x14ac:dyDescent="0.25">
      <c r="A25" t="s">
        <v>28</v>
      </c>
      <c r="B25" t="s">
        <v>7</v>
      </c>
      <c r="C25" t="s">
        <v>8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55000000000000004">
      <c r="A26" t="str">
        <f>'Population Definitions'!$A$2</f>
        <v>Children 0-14</v>
      </c>
      <c r="B26" t="s">
        <v>9</v>
      </c>
      <c r="C26">
        <f>IF(SUMPRODUCT(--(E26:T26&lt;&gt;""))=0,0.9,"N.A.")</f>
        <v>0.9</v>
      </c>
      <c r="D26" t="s">
        <v>11</v>
      </c>
    </row>
    <row r="27" spans="1:20" x14ac:dyDescent="0.55000000000000004">
      <c r="A27" t="str">
        <f>'Population Definitions'!$A$3</f>
        <v>Adults 15-49</v>
      </c>
      <c r="B27" t="s">
        <v>9</v>
      </c>
      <c r="C27">
        <f t="shared" ref="C27:C29" si="4">IF(SUMPRODUCT(--(E27:T27&lt;&gt;""))=0,0.9,"N.A.")</f>
        <v>0.9</v>
      </c>
      <c r="D27" t="s">
        <v>11</v>
      </c>
    </row>
    <row r="28" spans="1:20" x14ac:dyDescent="0.55000000000000004">
      <c r="A28" t="str">
        <f>'Population Definitions'!$A$4</f>
        <v>Adults 50+</v>
      </c>
      <c r="B28" t="s">
        <v>9</v>
      </c>
      <c r="C28">
        <f t="shared" si="4"/>
        <v>0.9</v>
      </c>
      <c r="D28" t="s">
        <v>11</v>
      </c>
    </row>
    <row r="29" spans="1:20" x14ac:dyDescent="0.55000000000000004">
      <c r="A29" t="str">
        <f>'Population Definitions'!$A$5</f>
        <v>Prisoners</v>
      </c>
      <c r="B29" t="s">
        <v>9</v>
      </c>
      <c r="C29">
        <f t="shared" si="4"/>
        <v>0.9</v>
      </c>
      <c r="D29" t="s">
        <v>11</v>
      </c>
    </row>
    <row r="31" spans="1:20" x14ac:dyDescent="0.55000000000000004">
      <c r="A31" t="s">
        <v>29</v>
      </c>
      <c r="B31" t="s">
        <v>7</v>
      </c>
      <c r="C31" t="s">
        <v>8</v>
      </c>
      <c r="E31">
        <v>2000</v>
      </c>
      <c r="F31">
        <v>2001</v>
      </c>
      <c r="G31">
        <v>2002</v>
      </c>
      <c r="H31">
        <v>2003</v>
      </c>
      <c r="I31">
        <v>2004</v>
      </c>
      <c r="J31">
        <v>2005</v>
      </c>
      <c r="K31">
        <v>2006</v>
      </c>
      <c r="L31">
        <v>2007</v>
      </c>
      <c r="M31">
        <v>2008</v>
      </c>
      <c r="N31">
        <v>2009</v>
      </c>
      <c r="O31">
        <v>2010</v>
      </c>
      <c r="P31">
        <v>2011</v>
      </c>
      <c r="Q31">
        <v>2012</v>
      </c>
      <c r="R31">
        <v>2013</v>
      </c>
      <c r="S31">
        <v>2014</v>
      </c>
      <c r="T31">
        <v>2015</v>
      </c>
    </row>
    <row r="32" spans="1:20" x14ac:dyDescent="0.55000000000000004">
      <c r="A32" t="str">
        <f>'Population Definitions'!$A$2</f>
        <v>Children 0-14</v>
      </c>
      <c r="B32" t="s">
        <v>23</v>
      </c>
      <c r="C32">
        <f>IF(SUMPRODUCT(--(E32:T32&lt;&gt;""))=0,0.2,"N.A.")</f>
        <v>0.2</v>
      </c>
      <c r="D32" t="s">
        <v>11</v>
      </c>
    </row>
    <row r="33" spans="1:20" x14ac:dyDescent="0.55000000000000004">
      <c r="A33" t="str">
        <f>'Population Definitions'!$A$3</f>
        <v>Adults 15-49</v>
      </c>
      <c r="B33" t="s">
        <v>23</v>
      </c>
      <c r="C33">
        <f t="shared" ref="C33:C35" si="5">IF(SUMPRODUCT(--(E33:T33&lt;&gt;""))=0,0.2,"N.A.")</f>
        <v>0.2</v>
      </c>
      <c r="D33" t="s">
        <v>11</v>
      </c>
    </row>
    <row r="34" spans="1:20" x14ac:dyDescent="0.55000000000000004">
      <c r="A34" t="str">
        <f>'Population Definitions'!$A$4</f>
        <v>Adults 50+</v>
      </c>
      <c r="B34" t="s">
        <v>23</v>
      </c>
      <c r="C34">
        <f t="shared" si="5"/>
        <v>0.2</v>
      </c>
      <c r="D34" t="s">
        <v>11</v>
      </c>
    </row>
    <row r="35" spans="1:20" x14ac:dyDescent="0.55000000000000004">
      <c r="A35" t="str">
        <f>'Population Definitions'!$A$5</f>
        <v>Prisoners</v>
      </c>
      <c r="B35" t="s">
        <v>23</v>
      </c>
      <c r="C35">
        <f t="shared" si="5"/>
        <v>0.2</v>
      </c>
      <c r="D35" t="s">
        <v>11</v>
      </c>
    </row>
    <row r="37" spans="1:20" x14ac:dyDescent="0.55000000000000004">
      <c r="A37" t="s">
        <v>30</v>
      </c>
      <c r="B37" t="s">
        <v>7</v>
      </c>
      <c r="C37" t="s">
        <v>8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55000000000000004">
      <c r="A38" t="str">
        <f>'Population Definitions'!$A$2</f>
        <v>Children 0-14</v>
      </c>
      <c r="B38" t="s">
        <v>9</v>
      </c>
      <c r="C38">
        <f>IF(SUMPRODUCT(--(E38:T38&lt;&gt;""))=0,0.5,"N.A.")</f>
        <v>0.5</v>
      </c>
      <c r="D38" t="s">
        <v>11</v>
      </c>
    </row>
    <row r="39" spans="1:20" x14ac:dyDescent="0.55000000000000004">
      <c r="A39" t="str">
        <f>'Population Definitions'!$A$3</f>
        <v>Adults 15-49</v>
      </c>
      <c r="B39" t="s">
        <v>9</v>
      </c>
      <c r="C39">
        <f t="shared" ref="C39:C41" si="6">IF(SUMPRODUCT(--(E39:T39&lt;&gt;""))=0,0.5,"N.A.")</f>
        <v>0.5</v>
      </c>
      <c r="D39" t="s">
        <v>11</v>
      </c>
    </row>
    <row r="40" spans="1:20" x14ac:dyDescent="0.55000000000000004">
      <c r="A40" t="str">
        <f>'Population Definitions'!$A$4</f>
        <v>Adults 50+</v>
      </c>
      <c r="B40" t="s">
        <v>9</v>
      </c>
      <c r="C40">
        <f t="shared" si="6"/>
        <v>0.5</v>
      </c>
      <c r="D40" t="s">
        <v>11</v>
      </c>
    </row>
    <row r="41" spans="1:20" x14ac:dyDescent="0.55000000000000004">
      <c r="A41" t="str">
        <f>'Population Definitions'!$A$5</f>
        <v>Prisoners</v>
      </c>
      <c r="B41" t="s">
        <v>9</v>
      </c>
      <c r="C41">
        <f t="shared" si="6"/>
        <v>0.5</v>
      </c>
      <c r="D41" t="s">
        <v>11</v>
      </c>
    </row>
    <row r="43" spans="1:20" x14ac:dyDescent="0.55000000000000004">
      <c r="A43" t="s">
        <v>31</v>
      </c>
      <c r="B43" t="s">
        <v>7</v>
      </c>
      <c r="C43" t="s">
        <v>8</v>
      </c>
      <c r="E43">
        <v>2000</v>
      </c>
      <c r="F43">
        <v>2001</v>
      </c>
      <c r="G43">
        <v>2002</v>
      </c>
      <c r="H43">
        <v>2003</v>
      </c>
      <c r="I43">
        <v>2004</v>
      </c>
      <c r="J43">
        <v>2005</v>
      </c>
      <c r="K43">
        <v>2006</v>
      </c>
      <c r="L43">
        <v>2007</v>
      </c>
      <c r="M43">
        <v>2008</v>
      </c>
      <c r="N43">
        <v>2009</v>
      </c>
      <c r="O43">
        <v>2010</v>
      </c>
      <c r="P43">
        <v>2011</v>
      </c>
      <c r="Q43">
        <v>2012</v>
      </c>
      <c r="R43">
        <v>2013</v>
      </c>
      <c r="S43">
        <v>2014</v>
      </c>
      <c r="T43">
        <v>2015</v>
      </c>
    </row>
    <row r="44" spans="1:20" x14ac:dyDescent="0.55000000000000004">
      <c r="A44" t="str">
        <f>'Population Definitions'!$A$2</f>
        <v>Children 0-14</v>
      </c>
      <c r="B44" t="s">
        <v>9</v>
      </c>
      <c r="C44">
        <f>IF(SUMPRODUCT(--(E44:T44&lt;&gt;""))=0,0.75,"N.A.")</f>
        <v>0.75</v>
      </c>
      <c r="D44" t="s">
        <v>11</v>
      </c>
    </row>
    <row r="45" spans="1:20" x14ac:dyDescent="0.55000000000000004">
      <c r="A45" t="str">
        <f>'Population Definitions'!$A$3</f>
        <v>Adults 15-49</v>
      </c>
      <c r="B45" t="s">
        <v>9</v>
      </c>
      <c r="C45">
        <f t="shared" ref="C45:C47" si="7">IF(SUMPRODUCT(--(E45:T45&lt;&gt;""))=0,0.75,"N.A.")</f>
        <v>0.75</v>
      </c>
      <c r="D45" t="s">
        <v>11</v>
      </c>
    </row>
    <row r="46" spans="1:20" x14ac:dyDescent="0.55000000000000004">
      <c r="A46" t="str">
        <f>'Population Definitions'!$A$4</f>
        <v>Adults 50+</v>
      </c>
      <c r="B46" t="s">
        <v>9</v>
      </c>
      <c r="C46">
        <f t="shared" si="7"/>
        <v>0.75</v>
      </c>
      <c r="D46" t="s">
        <v>11</v>
      </c>
    </row>
    <row r="47" spans="1:20" x14ac:dyDescent="0.55000000000000004">
      <c r="A47" t="str">
        <f>'Population Definitions'!$A$5</f>
        <v>Prisoners</v>
      </c>
      <c r="B47" t="s">
        <v>9</v>
      </c>
      <c r="C47">
        <f t="shared" si="7"/>
        <v>0.75</v>
      </c>
      <c r="D47" t="s">
        <v>11</v>
      </c>
    </row>
    <row r="49" spans="1:20" x14ac:dyDescent="0.55000000000000004">
      <c r="A49" t="s">
        <v>32</v>
      </c>
      <c r="B49" t="s">
        <v>7</v>
      </c>
      <c r="C49" t="s">
        <v>8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 x14ac:dyDescent="0.55000000000000004">
      <c r="A50" t="str">
        <f>'Population Definitions'!$A$2</f>
        <v>Children 0-14</v>
      </c>
      <c r="B50" t="s">
        <v>9</v>
      </c>
      <c r="C50">
        <f>IF(SUMPRODUCT(--(E50:T50&lt;&gt;""))=0,0.1,"N.A.")</f>
        <v>0.1</v>
      </c>
      <c r="D50" t="s">
        <v>11</v>
      </c>
    </row>
    <row r="51" spans="1:20" x14ac:dyDescent="0.55000000000000004">
      <c r="A51" t="str">
        <f>'Population Definitions'!$A$3</f>
        <v>Adults 15-49</v>
      </c>
      <c r="B51" t="s">
        <v>9</v>
      </c>
      <c r="C51">
        <f t="shared" ref="C51:C53" si="8">IF(SUMPRODUCT(--(E51:T51&lt;&gt;""))=0,0.1,"N.A.")</f>
        <v>0.1</v>
      </c>
      <c r="D51" t="s">
        <v>11</v>
      </c>
    </row>
    <row r="52" spans="1:20" x14ac:dyDescent="0.55000000000000004">
      <c r="A52" t="str">
        <f>'Population Definitions'!$A$4</f>
        <v>Adults 50+</v>
      </c>
      <c r="B52" t="s">
        <v>9</v>
      </c>
      <c r="C52">
        <f t="shared" si="8"/>
        <v>0.1</v>
      </c>
      <c r="D52" t="s">
        <v>11</v>
      </c>
    </row>
    <row r="53" spans="1:20" x14ac:dyDescent="0.55000000000000004">
      <c r="A53" t="str">
        <f>'Population Definitions'!$A$5</f>
        <v>Prisoners</v>
      </c>
      <c r="B53" t="s">
        <v>9</v>
      </c>
      <c r="C53">
        <f t="shared" si="8"/>
        <v>0.1</v>
      </c>
      <c r="D53" t="s">
        <v>11</v>
      </c>
    </row>
  </sheetData>
  <dataValidations count="2">
    <dataValidation type="list" showInputMessage="1" showErrorMessage="1" sqref="B50:B53 B44:B47 B38:B41 B26:B29 B20:B23 B8:B11 B2:B5">
      <formula1>"Fraction,Number"</formula1>
    </dataValidation>
    <dataValidation type="list" showInputMessage="1" showErrorMessage="1" sqref="B32:B35 B14:B17">
      <formula1>"Proportion"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>
      <selection activeCell="J41" sqref="J41"/>
    </sheetView>
  </sheetViews>
  <sheetFormatPr defaultRowHeight="14.4" x14ac:dyDescent="0.55000000000000004"/>
  <cols>
    <col min="1" max="1" width="60.68359375" customWidth="1"/>
    <col min="2" max="3" width="10.68359375" customWidth="1"/>
  </cols>
  <sheetData>
    <row r="1" spans="1:20" ht="15" x14ac:dyDescent="0.25">
      <c r="A1" t="s">
        <v>12</v>
      </c>
      <c r="B1" t="s">
        <v>7</v>
      </c>
      <c r="C1" t="s">
        <v>8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ht="15" x14ac:dyDescent="0.25">
      <c r="A2" t="str">
        <f>'Population Definitions'!$A$2</f>
        <v>Children 0-14</v>
      </c>
      <c r="B2" t="s">
        <v>10</v>
      </c>
      <c r="C2">
        <f>IF(SUMPRODUCT(--(E2:T2&lt;&gt;""))=0,0,"N.A.")</f>
        <v>0</v>
      </c>
      <c r="D2" t="s">
        <v>11</v>
      </c>
    </row>
    <row r="3" spans="1:20" ht="15" x14ac:dyDescent="0.25">
      <c r="A3" t="str">
        <f>'Population Definitions'!$A$3</f>
        <v>Adults 15-49</v>
      </c>
      <c r="B3" t="s">
        <v>10</v>
      </c>
      <c r="C3" t="str">
        <f>IF(SUMPRODUCT(--(E3:T3&lt;&gt;""))=0,100,"N.A.")</f>
        <v>N.A.</v>
      </c>
      <c r="D3" t="s">
        <v>11</v>
      </c>
      <c r="E3">
        <v>10000</v>
      </c>
      <c r="J3">
        <v>8000</v>
      </c>
      <c r="O3">
        <v>6000</v>
      </c>
      <c r="T3">
        <v>4000</v>
      </c>
    </row>
    <row r="4" spans="1:20" ht="15" x14ac:dyDescent="0.25">
      <c r="A4" t="str">
        <f>'Population Definitions'!$A$4</f>
        <v>Adults 50+</v>
      </c>
      <c r="B4" t="s">
        <v>10</v>
      </c>
      <c r="C4">
        <f>IF(SUMPRODUCT(--(E4:T4&lt;&gt;""))=0,0,"N.A.")</f>
        <v>0</v>
      </c>
      <c r="D4" t="s">
        <v>11</v>
      </c>
    </row>
    <row r="5" spans="1:20" ht="15" x14ac:dyDescent="0.25">
      <c r="A5" t="str">
        <f>'Population Definitions'!$A$5</f>
        <v>Prisoners</v>
      </c>
      <c r="B5" t="s">
        <v>10</v>
      </c>
      <c r="C5">
        <f>IF(SUMPRODUCT(--(E5:T5&lt;&gt;""))=0,0,"N.A.")</f>
        <v>0</v>
      </c>
      <c r="D5" t="s">
        <v>11</v>
      </c>
    </row>
    <row r="7" spans="1:20" ht="15" x14ac:dyDescent="0.25">
      <c r="A7" t="s">
        <v>15</v>
      </c>
      <c r="B7" t="s">
        <v>7</v>
      </c>
      <c r="C7" t="s">
        <v>8</v>
      </c>
      <c r="E7">
        <v>2000</v>
      </c>
      <c r="F7">
        <v>2001</v>
      </c>
      <c r="G7">
        <v>2002</v>
      </c>
      <c r="H7">
        <v>2003</v>
      </c>
      <c r="I7">
        <v>2004</v>
      </c>
      <c r="J7">
        <v>2005</v>
      </c>
      <c r="K7">
        <v>2006</v>
      </c>
      <c r="L7">
        <v>2007</v>
      </c>
      <c r="M7">
        <v>2008</v>
      </c>
      <c r="N7">
        <v>2009</v>
      </c>
      <c r="O7">
        <v>2010</v>
      </c>
      <c r="P7">
        <v>2011</v>
      </c>
      <c r="Q7">
        <v>2012</v>
      </c>
      <c r="R7">
        <v>2013</v>
      </c>
      <c r="S7">
        <v>2014</v>
      </c>
      <c r="T7">
        <v>2015</v>
      </c>
    </row>
    <row r="8" spans="1:20" ht="15" x14ac:dyDescent="0.25">
      <c r="A8" t="str">
        <f>'Population Definitions'!$A$2</f>
        <v>Children 0-14</v>
      </c>
      <c r="B8" t="s">
        <v>10</v>
      </c>
      <c r="C8">
        <f>IF(SUMPRODUCT(--(E8:T8&lt;&gt;""))=0,0,"N.A.")</f>
        <v>0</v>
      </c>
      <c r="D8" t="s">
        <v>11</v>
      </c>
    </row>
    <row r="9" spans="1:20" ht="15" x14ac:dyDescent="0.25">
      <c r="A9" t="str">
        <f>'Population Definitions'!$A$3</f>
        <v>Adults 15-49</v>
      </c>
      <c r="B9" t="s">
        <v>10</v>
      </c>
      <c r="C9" t="str">
        <f>IF(SUMPRODUCT(--(E9:T9&lt;&gt;""))=0,0,"N.A.")</f>
        <v>N.A.</v>
      </c>
      <c r="D9" t="s">
        <v>11</v>
      </c>
      <c r="E9">
        <v>200</v>
      </c>
    </row>
    <row r="10" spans="1:20" ht="15" x14ac:dyDescent="0.25">
      <c r="A10" t="str">
        <f>'Population Definitions'!$A$4</f>
        <v>Adults 50+</v>
      </c>
      <c r="B10" t="s">
        <v>10</v>
      </c>
      <c r="C10">
        <f>IF(SUMPRODUCT(--(E10:T10&lt;&gt;""))=0,0,"N.A.")</f>
        <v>0</v>
      </c>
      <c r="D10" t="s">
        <v>11</v>
      </c>
    </row>
    <row r="11" spans="1:20" ht="15" x14ac:dyDescent="0.25">
      <c r="A11" t="str">
        <f>'Population Definitions'!$A$5</f>
        <v>Prisoners</v>
      </c>
      <c r="B11" t="s">
        <v>10</v>
      </c>
      <c r="C11">
        <f>IF(SUMPRODUCT(--(E11:T11&lt;&gt;""))=0,0,"N.A.")</f>
        <v>0</v>
      </c>
      <c r="D11" t="s">
        <v>11</v>
      </c>
    </row>
    <row r="13" spans="1:20" ht="15" x14ac:dyDescent="0.25">
      <c r="A13" t="s">
        <v>16</v>
      </c>
      <c r="B13" t="s">
        <v>7</v>
      </c>
      <c r="C13" t="s">
        <v>8</v>
      </c>
      <c r="E13">
        <v>2000</v>
      </c>
      <c r="F13">
        <v>2001</v>
      </c>
      <c r="G13">
        <v>2002</v>
      </c>
      <c r="H13">
        <v>2003</v>
      </c>
      <c r="I13">
        <v>2004</v>
      </c>
      <c r="J13">
        <v>2005</v>
      </c>
      <c r="K13">
        <v>2006</v>
      </c>
      <c r="L13">
        <v>2007</v>
      </c>
      <c r="M13">
        <v>2008</v>
      </c>
      <c r="N13">
        <v>2009</v>
      </c>
      <c r="O13">
        <v>2010</v>
      </c>
      <c r="P13">
        <v>2011</v>
      </c>
      <c r="Q13">
        <v>2012</v>
      </c>
      <c r="R13">
        <v>2013</v>
      </c>
      <c r="S13">
        <v>2014</v>
      </c>
      <c r="T13">
        <v>2015</v>
      </c>
    </row>
    <row r="14" spans="1:20" ht="15" x14ac:dyDescent="0.25">
      <c r="A14" t="str">
        <f>'Population Definitions'!$A$2</f>
        <v>Children 0-14</v>
      </c>
      <c r="B14" t="s">
        <v>10</v>
      </c>
      <c r="C14">
        <f>IF(SUMPRODUCT(--(E14:T14&lt;&gt;""))=0,0,"N.A.")</f>
        <v>0</v>
      </c>
      <c r="D14" t="s">
        <v>11</v>
      </c>
    </row>
    <row r="15" spans="1:20" ht="15" x14ac:dyDescent="0.25">
      <c r="A15" t="str">
        <f>'Population Definitions'!$A$3</f>
        <v>Adults 15-49</v>
      </c>
      <c r="B15" t="s">
        <v>10</v>
      </c>
      <c r="C15" t="str">
        <f>IF(SUMPRODUCT(--(E15:T15&lt;&gt;""))=0,0,"N.A.")</f>
        <v>N.A.</v>
      </c>
      <c r="D15" t="s">
        <v>11</v>
      </c>
      <c r="E15">
        <v>200</v>
      </c>
    </row>
    <row r="16" spans="1:20" ht="15" x14ac:dyDescent="0.25">
      <c r="A16" t="str">
        <f>'Population Definitions'!$A$4</f>
        <v>Adults 50+</v>
      </c>
      <c r="B16" t="s">
        <v>10</v>
      </c>
      <c r="C16">
        <f>IF(SUMPRODUCT(--(E16:T16&lt;&gt;""))=0,0,"N.A.")</f>
        <v>0</v>
      </c>
      <c r="D16" t="s">
        <v>11</v>
      </c>
    </row>
    <row r="17" spans="1:20" ht="15" x14ac:dyDescent="0.25">
      <c r="A17" t="str">
        <f>'Population Definitions'!$A$5</f>
        <v>Prisoners</v>
      </c>
      <c r="B17" t="s">
        <v>10</v>
      </c>
      <c r="C17">
        <f>IF(SUMPRODUCT(--(E17:T17&lt;&gt;""))=0,0,"N.A.")</f>
        <v>0</v>
      </c>
      <c r="D17" t="s">
        <v>11</v>
      </c>
    </row>
    <row r="19" spans="1:20" ht="15" x14ac:dyDescent="0.25">
      <c r="A19" t="s">
        <v>19</v>
      </c>
      <c r="B19" t="s">
        <v>7</v>
      </c>
      <c r="C19" t="s">
        <v>8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ht="15" x14ac:dyDescent="0.25">
      <c r="A20" t="str">
        <f>'Population Definitions'!$A$2</f>
        <v>Children 0-14</v>
      </c>
      <c r="B20" t="s">
        <v>10</v>
      </c>
      <c r="C20">
        <f>IF(SUMPRODUCT(--(E20:T20&lt;&gt;""))=0,0,"N.A.")</f>
        <v>0</v>
      </c>
      <c r="D20" t="s">
        <v>11</v>
      </c>
    </row>
    <row r="21" spans="1:20" ht="15" x14ac:dyDescent="0.25">
      <c r="A21" t="str">
        <f>'Population Definitions'!$A$3</f>
        <v>Adults 15-49</v>
      </c>
      <c r="B21" t="s">
        <v>10</v>
      </c>
      <c r="C21" t="str">
        <f>IF(SUMPRODUCT(--(E21:T21&lt;&gt;""))=0,0,"N.A.")</f>
        <v>N.A.</v>
      </c>
      <c r="D21" t="s">
        <v>11</v>
      </c>
      <c r="E21">
        <v>50</v>
      </c>
    </row>
    <row r="22" spans="1:20" ht="15" x14ac:dyDescent="0.25">
      <c r="A22" t="str">
        <f>'Population Definitions'!$A$4</f>
        <v>Adults 50+</v>
      </c>
      <c r="B22" t="s">
        <v>10</v>
      </c>
      <c r="C22">
        <f>IF(SUMPRODUCT(--(E22:T22&lt;&gt;""))=0,0,"N.A.")</f>
        <v>0</v>
      </c>
      <c r="D22" t="s">
        <v>11</v>
      </c>
    </row>
    <row r="23" spans="1:20" ht="15" x14ac:dyDescent="0.25">
      <c r="A23" t="str">
        <f>'Population Definitions'!$A$5</f>
        <v>Prisoners</v>
      </c>
      <c r="B23" t="s">
        <v>10</v>
      </c>
      <c r="C23">
        <f>IF(SUMPRODUCT(--(E23:T23&lt;&gt;""))=0,0,"N.A.")</f>
        <v>0</v>
      </c>
      <c r="D23" t="s">
        <v>11</v>
      </c>
    </row>
    <row r="25" spans="1:20" ht="15" x14ac:dyDescent="0.25">
      <c r="A25" t="s">
        <v>22</v>
      </c>
      <c r="B25" t="s">
        <v>7</v>
      </c>
      <c r="C25" t="s">
        <v>8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55000000000000004">
      <c r="A26" t="str">
        <f>'Population Definitions'!$A$2</f>
        <v>Children 0-14</v>
      </c>
      <c r="B26" t="s">
        <v>10</v>
      </c>
      <c r="C26">
        <f>IF(SUMPRODUCT(--(E26:T26&lt;&gt;""))=0,0,"N.A.")</f>
        <v>0</v>
      </c>
      <c r="D26" t="s">
        <v>11</v>
      </c>
    </row>
    <row r="27" spans="1:20" x14ac:dyDescent="0.55000000000000004">
      <c r="A27" t="str">
        <f>'Population Definitions'!$A$3</f>
        <v>Adults 15-49</v>
      </c>
      <c r="B27" t="s">
        <v>10</v>
      </c>
      <c r="C27" t="str">
        <f>IF(SUMPRODUCT(--(E27:T27&lt;&gt;""))=0,0,"N.A.")</f>
        <v>N.A.</v>
      </c>
      <c r="D27" t="s">
        <v>11</v>
      </c>
      <c r="E27">
        <v>50</v>
      </c>
    </row>
    <row r="28" spans="1:20" x14ac:dyDescent="0.55000000000000004">
      <c r="A28" t="str">
        <f>'Population Definitions'!$A$4</f>
        <v>Adults 50+</v>
      </c>
      <c r="B28" t="s">
        <v>10</v>
      </c>
      <c r="C28">
        <f>IF(SUMPRODUCT(--(E28:T28&lt;&gt;""))=0,0,"N.A.")</f>
        <v>0</v>
      </c>
      <c r="D28" t="s">
        <v>11</v>
      </c>
    </row>
    <row r="29" spans="1:20" x14ac:dyDescent="0.55000000000000004">
      <c r="A29" t="str">
        <f>'Population Definitions'!$A$5</f>
        <v>Prisoners</v>
      </c>
      <c r="B29" t="s">
        <v>10</v>
      </c>
      <c r="C29">
        <f>IF(SUMPRODUCT(--(E29:T29&lt;&gt;""))=0,0,"N.A.")</f>
        <v>0</v>
      </c>
      <c r="D29" t="s">
        <v>11</v>
      </c>
    </row>
    <row r="31" spans="1:20" x14ac:dyDescent="0.55000000000000004">
      <c r="A31" t="s">
        <v>26</v>
      </c>
      <c r="B31" t="s">
        <v>7</v>
      </c>
      <c r="C31" t="s">
        <v>8</v>
      </c>
      <c r="E31">
        <v>2000</v>
      </c>
      <c r="F31">
        <v>2001</v>
      </c>
      <c r="G31">
        <v>2002</v>
      </c>
      <c r="H31">
        <v>2003</v>
      </c>
      <c r="I31">
        <v>2004</v>
      </c>
      <c r="J31">
        <v>2005</v>
      </c>
      <c r="K31">
        <v>2006</v>
      </c>
      <c r="L31">
        <v>2007</v>
      </c>
      <c r="M31">
        <v>2008</v>
      </c>
      <c r="N31">
        <v>2009</v>
      </c>
      <c r="O31">
        <v>2010</v>
      </c>
      <c r="P31">
        <v>2011</v>
      </c>
      <c r="Q31">
        <v>2012</v>
      </c>
      <c r="R31">
        <v>2013</v>
      </c>
      <c r="S31">
        <v>2014</v>
      </c>
      <c r="T31">
        <v>2015</v>
      </c>
    </row>
    <row r="32" spans="1:20" x14ac:dyDescent="0.55000000000000004">
      <c r="A32" t="str">
        <f>'Population Definitions'!$A$2</f>
        <v>Children 0-14</v>
      </c>
      <c r="B32" t="s">
        <v>10</v>
      </c>
      <c r="C32">
        <f>IF(SUMPRODUCT(--(E32:T32&lt;&gt;""))=0,0,"N.A.")</f>
        <v>0</v>
      </c>
      <c r="D32" t="s">
        <v>11</v>
      </c>
    </row>
    <row r="33" spans="1:5" x14ac:dyDescent="0.55000000000000004">
      <c r="A33" t="str">
        <f>'Population Definitions'!$A$3</f>
        <v>Adults 15-49</v>
      </c>
      <c r="B33" t="s">
        <v>10</v>
      </c>
      <c r="C33" t="str">
        <f>IF(SUMPRODUCT(--(E33:T33&lt;&gt;""))=0,0,"N.A.")</f>
        <v>N.A.</v>
      </c>
      <c r="D33" t="s">
        <v>11</v>
      </c>
      <c r="E33">
        <v>1</v>
      </c>
    </row>
    <row r="34" spans="1:5" x14ac:dyDescent="0.55000000000000004">
      <c r="A34" t="str">
        <f>'Population Definitions'!$A$4</f>
        <v>Adults 50+</v>
      </c>
      <c r="B34" t="s">
        <v>10</v>
      </c>
      <c r="C34">
        <f>IF(SUMPRODUCT(--(E34:T34&lt;&gt;""))=0,0,"N.A.")</f>
        <v>0</v>
      </c>
      <c r="D34" t="s">
        <v>11</v>
      </c>
    </row>
    <row r="35" spans="1:5" x14ac:dyDescent="0.55000000000000004">
      <c r="A35" t="str">
        <f>'Population Definitions'!$A$5</f>
        <v>Prisoners</v>
      </c>
      <c r="B35" t="s">
        <v>10</v>
      </c>
      <c r="C35">
        <f>IF(SUMPRODUCT(--(E35:T35&lt;&gt;""))=0,0,"N.A.")</f>
        <v>0</v>
      </c>
      <c r="D35" t="s">
        <v>11</v>
      </c>
    </row>
  </sheetData>
  <dataValidations count="24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8">
      <formula1>"Number"</formula1>
    </dataValidation>
    <dataValidation type="list" showInputMessage="1" showErrorMessage="1" sqref="B9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6">
      <formula1>"Number"</formula1>
    </dataValidation>
    <dataValidation type="list" showInputMessage="1" showErrorMessage="1" sqref="B17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7">
      <formula1>"Number"</formula1>
    </dataValidation>
    <dataValidation type="list" showInputMessage="1" showErrorMessage="1" sqref="B28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2">
      <formula1>"Number"</formula1>
    </dataValidation>
    <dataValidation type="list" showInputMessage="1" showErrorMessage="1" sqref="B33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Population Definitions</vt:lpstr>
      <vt:lpstr>Population Contacts</vt:lpstr>
      <vt:lpstr>Transfer Definitions</vt:lpstr>
      <vt:lpstr>Transfer Details</vt:lpstr>
      <vt:lpstr>Program Definitions</vt:lpstr>
      <vt:lpstr>Program Details</vt:lpstr>
      <vt:lpstr>General Demographics</vt:lpstr>
      <vt:lpstr>Epidemic Characteristics</vt:lpstr>
      <vt:lpstr>Prevalence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Azfar Hussain</cp:lastModifiedBy>
  <dcterms:created xsi:type="dcterms:W3CDTF">2017-03-03T04:00:48Z</dcterms:created>
  <dcterms:modified xsi:type="dcterms:W3CDTF">2017-05-25T08:34:15Z</dcterms:modified>
</cp:coreProperties>
</file>