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495" tabRatio="790" firstSheet="3" activeTab="6"/>
  </bookViews>
  <sheets>
    <sheet name="Population Definitions" sheetId="1" r:id="rId1"/>
    <sheet name="Population Contacts" sheetId="2" r:id="rId2"/>
    <sheet name="Transfer Definitions" sheetId="3" r:id="rId3"/>
    <sheet name="Transfer Details" sheetId="4" r:id="rId4"/>
    <sheet name="Program Definitions" sheetId="5" r:id="rId5"/>
    <sheet name="Program Details" sheetId="6" r:id="rId6"/>
    <sheet name="Human Malarial Development" sheetId="7" r:id="rId7"/>
    <sheet name="Epidemic Characteristics" sheetId="8" r:id="rId8"/>
    <sheet name="Cascade Parameters" sheetId="9" r:id="rId9"/>
  </sheets>
  <calcPr calcId="145621"/>
</workbook>
</file>

<file path=xl/calcChain.xml><?xml version="1.0" encoding="utf-8"?>
<calcChain xmlns="http://schemas.openxmlformats.org/spreadsheetml/2006/main">
  <c r="C3" i="9" l="1"/>
  <c r="C4" i="9"/>
  <c r="C2" i="9"/>
  <c r="J24" i="7"/>
  <c r="I24" i="7"/>
  <c r="H24" i="7"/>
  <c r="G24" i="7"/>
  <c r="F24" i="7"/>
  <c r="E24" i="7"/>
  <c r="A24" i="7"/>
  <c r="J23" i="7"/>
  <c r="I23" i="7"/>
  <c r="H23" i="7"/>
  <c r="G23" i="7"/>
  <c r="F23" i="7"/>
  <c r="E23" i="7"/>
  <c r="A23" i="7"/>
  <c r="J22" i="7"/>
  <c r="I22" i="7"/>
  <c r="H22" i="7"/>
  <c r="G22" i="7"/>
  <c r="F22" i="7"/>
  <c r="E22" i="7"/>
  <c r="A22" i="7"/>
  <c r="C24" i="7" l="1"/>
  <c r="C23" i="7"/>
  <c r="C22" i="7"/>
  <c r="A44" i="8"/>
  <c r="A43" i="8"/>
  <c r="A42" i="8"/>
  <c r="C44" i="8" l="1"/>
  <c r="C43" i="8"/>
  <c r="C42" i="8"/>
  <c r="C9" i="7"/>
  <c r="C8" i="7"/>
  <c r="C7" i="7"/>
  <c r="E4" i="4"/>
  <c r="E5" i="4"/>
  <c r="E6" i="4"/>
  <c r="E7" i="4"/>
  <c r="E2" i="4"/>
  <c r="C32" i="8"/>
  <c r="C33" i="8"/>
  <c r="C34" i="8"/>
  <c r="C37" i="8"/>
  <c r="C38" i="8"/>
  <c r="C39" i="8"/>
  <c r="C14" i="7"/>
  <c r="C13" i="7"/>
  <c r="C12" i="7"/>
  <c r="C3" i="7"/>
  <c r="C4" i="7"/>
  <c r="C2" i="7"/>
  <c r="C19" i="8" l="1"/>
  <c r="C18" i="8"/>
  <c r="C17" i="8"/>
  <c r="C14" i="8"/>
  <c r="C13" i="8"/>
  <c r="C12" i="8"/>
  <c r="C9" i="8"/>
  <c r="C8" i="8"/>
  <c r="C7" i="8"/>
  <c r="C28" i="8"/>
  <c r="C29" i="8"/>
  <c r="C27" i="8"/>
  <c r="C22" i="9" l="1"/>
  <c r="C23" i="9"/>
  <c r="C24" i="9"/>
  <c r="C14" i="9" l="1"/>
  <c r="C13" i="9"/>
  <c r="C12" i="9"/>
  <c r="C19" i="9"/>
  <c r="C18" i="9"/>
  <c r="C17" i="9"/>
  <c r="C9" i="9"/>
  <c r="C8" i="9"/>
  <c r="C7" i="9"/>
  <c r="A2" i="3" l="1"/>
  <c r="A44" i="9"/>
  <c r="A43" i="9"/>
  <c r="A42" i="9"/>
  <c r="A39" i="9"/>
  <c r="A38" i="9"/>
  <c r="A37" i="9"/>
  <c r="A34" i="9"/>
  <c r="A33" i="9"/>
  <c r="A32" i="9"/>
  <c r="A29" i="9"/>
  <c r="A28" i="9"/>
  <c r="A27" i="9"/>
  <c r="A24" i="9"/>
  <c r="A23" i="9"/>
  <c r="A22" i="9"/>
  <c r="A19" i="9"/>
  <c r="A18" i="9"/>
  <c r="A17" i="9"/>
  <c r="A14" i="9"/>
  <c r="A13" i="9"/>
  <c r="A12" i="9"/>
  <c r="A9" i="9"/>
  <c r="A8" i="9"/>
  <c r="A7" i="9"/>
  <c r="A4" i="9"/>
  <c r="A3" i="9"/>
  <c r="A2" i="9"/>
  <c r="A39" i="8"/>
  <c r="A38" i="8"/>
  <c r="A37" i="8"/>
  <c r="A34" i="8"/>
  <c r="A33" i="8"/>
  <c r="A32" i="8"/>
  <c r="A29" i="8"/>
  <c r="A28" i="8"/>
  <c r="A27" i="8"/>
  <c r="C24" i="8"/>
  <c r="A24" i="8"/>
  <c r="C23" i="8"/>
  <c r="A23" i="8"/>
  <c r="C22" i="8"/>
  <c r="A22" i="8"/>
  <c r="A19" i="8"/>
  <c r="A18" i="8"/>
  <c r="A17" i="8"/>
  <c r="A14" i="8"/>
  <c r="A13" i="8"/>
  <c r="A12" i="8"/>
  <c r="A9" i="8"/>
  <c r="A8" i="8"/>
  <c r="A7" i="8"/>
  <c r="A4" i="8"/>
  <c r="A3" i="8"/>
  <c r="A2" i="8"/>
  <c r="A19" i="7"/>
  <c r="A18" i="7"/>
  <c r="A17" i="7"/>
  <c r="A14" i="7"/>
  <c r="A13" i="7"/>
  <c r="A12" i="7"/>
  <c r="A9" i="7"/>
  <c r="A8" i="7"/>
  <c r="A7" i="7"/>
  <c r="A4" i="7"/>
  <c r="A3" i="7"/>
  <c r="A2" i="7"/>
  <c r="C7" i="4"/>
  <c r="B7" i="4"/>
  <c r="A7" i="4"/>
  <c r="F7" i="4" s="1"/>
  <c r="C6" i="4"/>
  <c r="B6" i="4"/>
  <c r="A6" i="4"/>
  <c r="D6" i="4" s="1"/>
  <c r="C5" i="4"/>
  <c r="B5" i="4"/>
  <c r="A5" i="4"/>
  <c r="F5" i="4" s="1"/>
  <c r="C4" i="4"/>
  <c r="B4" i="4"/>
  <c r="A4" i="4"/>
  <c r="D4" i="4" s="1"/>
  <c r="C3" i="4"/>
  <c r="B3" i="4"/>
  <c r="A3" i="4"/>
  <c r="F3" i="4" s="1"/>
  <c r="C2" i="4"/>
  <c r="B2" i="4"/>
  <c r="A2" i="4"/>
  <c r="D2" i="4" s="1"/>
  <c r="A1" i="4"/>
  <c r="A4" i="3"/>
  <c r="C4" i="2"/>
  <c r="B4" i="2"/>
  <c r="A4" i="2"/>
  <c r="B3" i="2"/>
  <c r="D1" i="2"/>
  <c r="B1" i="2"/>
  <c r="D1" i="3"/>
  <c r="C1" i="3"/>
  <c r="A2" i="2"/>
  <c r="A3" i="2" l="1"/>
  <c r="C1" i="2"/>
  <c r="B1" i="3"/>
  <c r="A3" i="3"/>
  <c r="F2" i="4"/>
  <c r="D3" i="4"/>
  <c r="F4" i="4"/>
  <c r="D5" i="4"/>
  <c r="F6" i="4"/>
  <c r="D7" i="4"/>
  <c r="E3" i="4"/>
</calcChain>
</file>

<file path=xl/sharedStrings.xml><?xml version="1.0" encoding="utf-8"?>
<sst xmlns="http://schemas.openxmlformats.org/spreadsheetml/2006/main" count="735" uniqueCount="96">
  <si>
    <t>Name</t>
  </si>
  <si>
    <t>Abbreviation</t>
  </si>
  <si>
    <t>Minimum Age</t>
  </si>
  <si>
    <t>Maximum Age</t>
  </si>
  <si>
    <t>Interaction Impact Weights</t>
  </si>
  <si>
    <t>Aging</t>
  </si>
  <si>
    <t>n</t>
  </si>
  <si>
    <t>Format</t>
  </si>
  <si>
    <t>Assumption</t>
  </si>
  <si>
    <t>Fraction</t>
  </si>
  <si>
    <t>...</t>
  </si>
  <si>
    <t>Cost-Coverage Details</t>
  </si>
  <si>
    <t>Program Funding</t>
  </si>
  <si>
    <t>Number</t>
  </si>
  <si>
    <t>USD</t>
  </si>
  <si>
    <t>OR</t>
  </si>
  <si>
    <t>Human population size [S]</t>
  </si>
  <si>
    <t>Number of exposed humans [S]</t>
  </si>
  <si>
    <t>Number of infected humans [S]</t>
  </si>
  <si>
    <t>Number of immune humans [S]</t>
  </si>
  <si>
    <t>Infectious prevalence of humans [O]</t>
  </si>
  <si>
    <t>Mosquito population size [S]</t>
  </si>
  <si>
    <t>Number of infected mosquitoes [S]</t>
  </si>
  <si>
    <t>Number of exposed mosquitoes [S]</t>
  </si>
  <si>
    <t>Bites per year in humans [P]</t>
  </si>
  <si>
    <t>Probability of transmitting malaria to a human [P]</t>
  </si>
  <si>
    <t>Probability of transmitting malaria to a mosquito [P]</t>
  </si>
  <si>
    <t>Infection rate in humans [P]</t>
  </si>
  <si>
    <t>Infection rate in mosquitoes [P]</t>
  </si>
  <si>
    <t>Recovery rate of humans (immunity) [P]</t>
  </si>
  <si>
    <t>Number of malaria tests (number/year) [P]</t>
  </si>
  <si>
    <t>Average duration of immunity [P]</t>
  </si>
  <si>
    <t>Relative susceptibility among population group [P]</t>
  </si>
  <si>
    <t>Mosquito Death Rate [P]</t>
  </si>
  <si>
    <t>Human Birth Rate [P]</t>
  </si>
  <si>
    <t>All-cause mortality (%) [P]</t>
  </si>
  <si>
    <t>Malaria deaths (%) [P]</t>
  </si>
  <si>
    <t>Children 0-5</t>
  </si>
  <si>
    <t>child</t>
  </si>
  <si>
    <t>Pregnant Women</t>
  </si>
  <si>
    <t>preg</t>
  </si>
  <si>
    <t>General Population</t>
  </si>
  <si>
    <t>gp</t>
  </si>
  <si>
    <t>Malaria deaths (number/year)</t>
  </si>
  <si>
    <t>Number of infections per year</t>
  </si>
  <si>
    <t>N.A.</t>
  </si>
  <si>
    <t>Test and treatment (general population)</t>
  </si>
  <si>
    <t>Test and treatment</t>
  </si>
  <si>
    <t>Program Coverage</t>
  </si>
  <si>
    <t>Unit Cost Estimate</t>
  </si>
  <si>
    <t>Impact Attributes</t>
  </si>
  <si>
    <t>Number of treatments</t>
  </si>
  <si>
    <t>Unique</t>
  </si>
  <si>
    <t>Test and treatment (pregnant women)</t>
  </si>
  <si>
    <t>Test and treatment (children 0-5)</t>
  </si>
  <si>
    <t>Behaviour change communication (general population)</t>
  </si>
  <si>
    <t>Supplemental program</t>
  </si>
  <si>
    <t>Increased utilisation in program A</t>
  </si>
  <si>
    <t>Supplement to program A</t>
  </si>
  <si>
    <t>Increased utilisation in program B</t>
  </si>
  <si>
    <t>Supplement to program B</t>
  </si>
  <si>
    <t>IPTp</t>
  </si>
  <si>
    <t>Behaviour change communication (pregnant women)</t>
  </si>
  <si>
    <t>Behaviour change communication (children 0-5)</t>
  </si>
  <si>
    <t>Intermittent preventice treatment in pregnancy</t>
  </si>
  <si>
    <t>Additional treatments</t>
  </si>
  <si>
    <t>Effectiveness of treatment</t>
  </si>
  <si>
    <t>Effectiveness of infection prevention</t>
  </si>
  <si>
    <t>Utilisation</t>
  </si>
  <si>
    <t>Indoor residual spraying</t>
  </si>
  <si>
    <t>Prevention</t>
  </si>
  <si>
    <t>Unit Cost Estimate (Per 1%)</t>
  </si>
  <si>
    <t>Effectiveness in bite reduction</t>
  </si>
  <si>
    <t>Effectiveness in mosquito deaths</t>
  </si>
  <si>
    <t>Larvaciding</t>
  </si>
  <si>
    <t>Mosquito control</t>
  </si>
  <si>
    <t>Effectiveness</t>
  </si>
  <si>
    <t>Long-lasting insecticide nets (general population)</t>
  </si>
  <si>
    <t>Long-lasting insecticide nets (pregnant women)</t>
  </si>
  <si>
    <t>Long-lasting insecticide nets (children 0-5)</t>
  </si>
  <si>
    <t>Mass drug administration</t>
  </si>
  <si>
    <t>Seasonal mass chemotherapy for children</t>
  </si>
  <si>
    <t>TXg</t>
  </si>
  <si>
    <t>y</t>
  </si>
  <si>
    <t>TXp</t>
  </si>
  <si>
    <t>TXc</t>
  </si>
  <si>
    <t>BCCg</t>
  </si>
  <si>
    <t>BCCp</t>
  </si>
  <si>
    <t>BCCc</t>
  </si>
  <si>
    <t>IRS</t>
  </si>
  <si>
    <t>LAV</t>
  </si>
  <si>
    <t>LLINg</t>
  </si>
  <si>
    <t>LLINp</t>
  </si>
  <si>
    <t>LLINc</t>
  </si>
  <si>
    <t>MDA</t>
  </si>
  <si>
    <t>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</si>
</sst>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"/>
    <numFmt numFmtId="167" formatCode="0.000000"/>
    <numFmt numFmtId="168" formatCode="#,##0.00_ ;\-#,##0.00\ 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</cellStyleXfs>
  <cellXfs count="67"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/>
    <xf numFmtId="0" fontId="2" fillId="0" borderId="0" xfId="0" applyFont="1"/>
    <xf numFmtId="166" fontId="0" fillId="2" borderId="1" xfId="0" applyNumberFormat="1" applyFill="1" applyBorder="1" applyProtection="1">
      <protection locked="0"/>
    </xf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1" fontId="0" fillId="2" borderId="1" xfId="4" applyNumberFormat="1" applyFon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167" fontId="0" fillId="2" borderId="1" xfId="5" applyNumberFormat="1" applyFont="1" applyFill="1" applyBorder="1" applyProtection="1">
      <protection locked="0"/>
    </xf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/>
    <xf numFmtId="0" fontId="2" fillId="0" borderId="0" xfId="0" applyFont="1"/>
    <xf numFmtId="0" fontId="4" fillId="4" borderId="0" xfId="6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6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/>
    <xf numFmtId="0" fontId="2" fillId="0" borderId="0" xfId="0" applyFont="1"/>
    <xf numFmtId="1" fontId="0" fillId="2" borderId="1" xfId="4" applyNumberFormat="1" applyFont="1" applyFill="1" applyBorder="1" applyProtection="1">
      <protection locked="0"/>
    </xf>
    <xf numFmtId="1" fontId="0" fillId="2" borderId="1" xfId="4" applyNumberFormat="1" applyFont="1" applyFill="1" applyBorder="1" applyAlignment="1" applyProtection="1">
      <alignment wrapText="1"/>
      <protection locked="0"/>
    </xf>
    <xf numFmtId="0" fontId="4" fillId="4" borderId="0" xfId="6"/>
    <xf numFmtId="168" fontId="0" fillId="0" borderId="0" xfId="0" applyNumberFormat="1"/>
    <xf numFmtId="0" fontId="0" fillId="0" borderId="0" xfId="0" applyAlignment="1"/>
    <xf numFmtId="0" fontId="0" fillId="2" borderId="1" xfId="4" applyNumberFormat="1" applyFont="1" applyFill="1" applyBorder="1" applyProtection="1">
      <protection locked="0"/>
    </xf>
    <xf numFmtId="0" fontId="0" fillId="2" borderId="1" xfId="7" applyNumberFormat="1" applyFont="1" applyFill="1" applyBorder="1" applyProtection="1">
      <protection locked="0"/>
    </xf>
    <xf numFmtId="2" fontId="0" fillId="3" borderId="1" xfId="7" applyNumberFormat="1" applyFont="1" applyFill="1" applyBorder="1" applyProtection="1">
      <protection locked="0"/>
    </xf>
    <xf numFmtId="2" fontId="0" fillId="2" borderId="1" xfId="7" applyNumberFormat="1" applyFont="1" applyFill="1" applyBorder="1" applyProtection="1">
      <protection locked="0"/>
    </xf>
    <xf numFmtId="1" fontId="0" fillId="3" borderId="1" xfId="4" applyNumberFormat="1" applyFont="1" applyFill="1" applyBorder="1" applyProtection="1">
      <protection locked="0"/>
    </xf>
    <xf numFmtId="169" fontId="0" fillId="2" borderId="1" xfId="4" applyNumberFormat="1" applyFont="1" applyFill="1" applyBorder="1" applyProtection="1">
      <protection locked="0"/>
    </xf>
    <xf numFmtId="0" fontId="0" fillId="0" borderId="0" xfId="0" applyNumberFormat="1"/>
    <xf numFmtId="0" fontId="0" fillId="35" borderId="1" xfId="7" applyNumberFormat="1" applyFont="1" applyFill="1" applyBorder="1" applyProtection="1">
      <protection locked="0"/>
    </xf>
    <xf numFmtId="166" fontId="0" fillId="2" borderId="1" xfId="5" applyNumberFormat="1" applyFont="1" applyFill="1" applyBorder="1" applyProtection="1">
      <protection locked="0"/>
    </xf>
    <xf numFmtId="0" fontId="0" fillId="2" borderId="1" xfId="5" applyNumberFormat="1" applyFont="1" applyFill="1" applyBorder="1" applyProtection="1">
      <protection locked="0"/>
    </xf>
    <xf numFmtId="0" fontId="0" fillId="0" borderId="0" xfId="0"/>
    <xf numFmtId="0" fontId="2" fillId="0" borderId="0" xfId="0" applyFont="1"/>
    <xf numFmtId="0" fontId="0" fillId="0" borderId="0" xfId="0" applyFont="1"/>
  </cellXfs>
  <cellStyles count="48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6" builtinId="27" customBuiltin="1"/>
    <cellStyle name="Calculation" xfId="17" builtinId="22" customBuiltin="1"/>
    <cellStyle name="Check Cell" xfId="19" builtinId="23" customBuiltin="1"/>
    <cellStyle name="Comma" xfId="4" builtinId="3"/>
    <cellStyle name="Comma 2" xfId="1"/>
    <cellStyle name="Currency" xfId="7" builtinId="4"/>
    <cellStyle name="Currency 2" xfId="2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3"/>
    <cellStyle name="Note" xfId="21" builtinId="10" customBuiltin="1"/>
    <cellStyle name="Output" xfId="16" builtinId="21" customBuiltin="1"/>
    <cellStyle name="Percent" xfId="5" builtinId="5"/>
    <cellStyle name="Title" xfId="8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8.42578125" bestFit="1" customWidth="1"/>
    <col min="2" max="2" width="12.5703125" bestFit="1" customWidth="1"/>
    <col min="3" max="3" width="13.5703125" bestFit="1" customWidth="1"/>
    <col min="4" max="4" width="13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41</v>
      </c>
      <c r="B2" s="1" t="s">
        <v>42</v>
      </c>
      <c r="C2" s="1"/>
      <c r="D2" s="1"/>
    </row>
    <row r="3" spans="1:4" x14ac:dyDescent="0.25">
      <c r="A3" s="1" t="s">
        <v>39</v>
      </c>
      <c r="B3" s="1" t="s">
        <v>40</v>
      </c>
      <c r="D3" s="37"/>
    </row>
    <row r="4" spans="1:4" x14ac:dyDescent="0.25">
      <c r="A4" s="1" t="s">
        <v>37</v>
      </c>
      <c r="B4" s="1" t="s">
        <v>38</v>
      </c>
      <c r="C4" s="1"/>
      <c r="D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3" sqref="E3"/>
    </sheetView>
  </sheetViews>
  <sheetFormatPr defaultRowHeight="15" x14ac:dyDescent="0.25"/>
  <cols>
    <col min="1" max="1" width="25.7109375" customWidth="1"/>
  </cols>
  <sheetData>
    <row r="1" spans="1:4" x14ac:dyDescent="0.25">
      <c r="A1" t="s">
        <v>4</v>
      </c>
      <c r="B1" t="str">
        <f>'Population Definitions'!$B$2</f>
        <v>gp</v>
      </c>
      <c r="C1" t="str">
        <f>'Population Definitions'!$B$3</f>
        <v>preg</v>
      </c>
      <c r="D1" t="str">
        <f>'Population Definitions'!$B$4</f>
        <v>child</v>
      </c>
    </row>
    <row r="2" spans="1:4" x14ac:dyDescent="0.25">
      <c r="A2" t="str">
        <f>'Population Definitions'!$B$2</f>
        <v>gp</v>
      </c>
      <c r="B2">
        <v>1</v>
      </c>
      <c r="C2">
        <v>1</v>
      </c>
      <c r="D2">
        <v>1</v>
      </c>
    </row>
    <row r="3" spans="1:4" x14ac:dyDescent="0.25">
      <c r="A3" t="str">
        <f>'Population Definitions'!$B$3</f>
        <v>preg</v>
      </c>
      <c r="B3">
        <f>IF(C2&lt;&gt;"",C2,"")</f>
        <v>1</v>
      </c>
      <c r="C3">
        <v>1</v>
      </c>
      <c r="D3">
        <v>1</v>
      </c>
    </row>
    <row r="4" spans="1:4" x14ac:dyDescent="0.25">
      <c r="A4" t="str">
        <f>'Population Definitions'!$B$4</f>
        <v>child</v>
      </c>
      <c r="B4">
        <f>IF(D2&lt;&gt;"",D2,"")</f>
        <v>1</v>
      </c>
      <c r="C4">
        <f>IF(D3&lt;&gt;"",D3,"")</f>
        <v>1</v>
      </c>
      <c r="D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cols>
    <col min="1" max="1" width="15.7109375" customWidth="1"/>
  </cols>
  <sheetData>
    <row r="1" spans="1:4" x14ac:dyDescent="0.25">
      <c r="A1" t="s">
        <v>5</v>
      </c>
      <c r="B1" t="str">
        <f>'Population Definitions'!$B$2</f>
        <v>gp</v>
      </c>
      <c r="C1" t="str">
        <f>'Population Definitions'!$B$3</f>
        <v>preg</v>
      </c>
      <c r="D1" t="str">
        <f>'Population Definitions'!$B$4</f>
        <v>child</v>
      </c>
    </row>
    <row r="2" spans="1:4" x14ac:dyDescent="0.25">
      <c r="A2" t="str">
        <f>'Population Definitions'!$B$2</f>
        <v>gp</v>
      </c>
      <c r="C2" t="s">
        <v>6</v>
      </c>
      <c r="D2" t="s">
        <v>6</v>
      </c>
    </row>
    <row r="3" spans="1:4" x14ac:dyDescent="0.25">
      <c r="A3" t="str">
        <f>'Population Definitions'!$B$3</f>
        <v>preg</v>
      </c>
      <c r="B3" t="s">
        <v>6</v>
      </c>
      <c r="D3" t="s">
        <v>6</v>
      </c>
    </row>
    <row r="4" spans="1:4" x14ac:dyDescent="0.25">
      <c r="A4" t="str">
        <f>'Population Definitions'!$B$4</f>
        <v>child</v>
      </c>
      <c r="B4" t="s">
        <v>6</v>
      </c>
      <c r="C4" t="s">
        <v>6</v>
      </c>
    </row>
  </sheetData>
  <dataValidations count="9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:E7"/>
    </sheetView>
  </sheetViews>
  <sheetFormatPr defaultRowHeight="15" x14ac:dyDescent="0.25"/>
  <cols>
    <col min="1" max="1" width="18.42578125" customWidth="1"/>
    <col min="3" max="3" width="18.42578125" bestFit="1" customWidth="1"/>
    <col min="4" max="5" width="10.7109375" customWidth="1"/>
  </cols>
  <sheetData>
    <row r="1" spans="1:12" x14ac:dyDescent="0.25">
      <c r="A1" t="str">
        <f>'Transfer Definitions'!A1</f>
        <v>Aging</v>
      </c>
      <c r="D1" s="2" t="s">
        <v>7</v>
      </c>
      <c r="E1" s="2" t="s">
        <v>8</v>
      </c>
      <c r="F1" s="2"/>
      <c r="G1" s="2">
        <v>2000</v>
      </c>
      <c r="H1" s="2">
        <v>2365</v>
      </c>
      <c r="I1" s="2">
        <v>2730</v>
      </c>
      <c r="J1" s="2">
        <v>3095</v>
      </c>
      <c r="K1" s="2">
        <v>3460</v>
      </c>
      <c r="L1" s="2">
        <v>3825</v>
      </c>
    </row>
    <row r="2" spans="1:12" x14ac:dyDescent="0.25">
      <c r="A2" t="str">
        <f>IF('Transfer Definitions'!C2="y",'Population Definitions'!$A$2,"...")</f>
        <v>...</v>
      </c>
      <c r="B2" t="str">
        <f>IF('Transfer Definitions'!C2="y","---&gt;","")</f>
        <v/>
      </c>
      <c r="C2" t="str">
        <f>IF('Transfer Definitions'!C2="y",'Population Definitions'!$A$3,"")</f>
        <v/>
      </c>
      <c r="D2" t="str">
        <f t="shared" ref="D2:D7" si="0">IF(A2&lt;&gt;"...","Fraction","")</f>
        <v/>
      </c>
      <c r="E2" t="str">
        <f>IF(A2&lt;&gt;"...",IF(SUMPRODUCT(--(G2:V2&lt;&gt;""))=0,IF(AND('Population Definitions'!D2&lt;&gt;"",'Population Definitions'!C2&lt;&gt;""),1/('Population Definitions'!D2-'Population Definitions'!C2+1),0),"N.A."),"")</f>
        <v/>
      </c>
      <c r="F2" t="str">
        <f t="shared" ref="F2:F7" si="1">IF(A2&lt;&gt;"...","OR","")</f>
        <v/>
      </c>
    </row>
    <row r="3" spans="1:12" x14ac:dyDescent="0.25">
      <c r="A3" t="str">
        <f>IF('Transfer Definitions'!D2="y",'Population Definitions'!$A$2,"...")</f>
        <v>...</v>
      </c>
      <c r="B3" t="str">
        <f>IF('Transfer Definitions'!D2="y","---&gt;","")</f>
        <v/>
      </c>
      <c r="C3" t="str">
        <f>IF('Transfer Definitions'!D2="y",'Population Definitions'!$A$4,"")</f>
        <v/>
      </c>
      <c r="D3" t="str">
        <f t="shared" si="0"/>
        <v/>
      </c>
      <c r="E3" t="str">
        <f>IF(A3&lt;&gt;"...",IF(SUMPRODUCT(--(G3:V3&lt;&gt;""))=0,IF(AND('Population Definitions'!D2&lt;&gt;"",'Population Definitions'!C2&lt;&gt;""),1/('Population Definitions'!D2-'Population Definitions'!C2+1),0),"N.A."),"")</f>
        <v/>
      </c>
      <c r="F3" t="str">
        <f t="shared" si="1"/>
        <v/>
      </c>
    </row>
    <row r="4" spans="1:12" x14ac:dyDescent="0.25">
      <c r="A4" t="str">
        <f>IF('Transfer Definitions'!B3="y",'Population Definitions'!$A$3,"...")</f>
        <v>...</v>
      </c>
      <c r="B4" t="str">
        <f>IF('Transfer Definitions'!B3="y","---&gt;","")</f>
        <v/>
      </c>
      <c r="C4" t="str">
        <f>IF('Transfer Definitions'!B3="y",'Population Definitions'!$A$2,"")</f>
        <v/>
      </c>
      <c r="D4" t="str">
        <f t="shared" si="0"/>
        <v/>
      </c>
      <c r="E4" s="37" t="str">
        <f>IF(A4&lt;&gt;"...",IF(SUMPRODUCT(--(G4:V4&lt;&gt;""))=0,IF(AND('Population Definitions'!D4&lt;&gt;"",'Population Definitions'!C4&lt;&gt;""),1/('Population Definitions'!D4-'Population Definitions'!C4+1),0),"N.A."),"")</f>
        <v/>
      </c>
      <c r="F4" t="str">
        <f t="shared" si="1"/>
        <v/>
      </c>
    </row>
    <row r="5" spans="1:12" x14ac:dyDescent="0.25">
      <c r="A5" t="str">
        <f>IF('Transfer Definitions'!D3="y",'Population Definitions'!$A$3,"...")</f>
        <v>...</v>
      </c>
      <c r="B5" t="str">
        <f>IF('Transfer Definitions'!D3="y","---&gt;","")</f>
        <v/>
      </c>
      <c r="C5" t="str">
        <f>IF('Transfer Definitions'!D3="y",'Population Definitions'!$A$4,"")</f>
        <v/>
      </c>
      <c r="D5" t="str">
        <f t="shared" si="0"/>
        <v/>
      </c>
      <c r="E5" s="37" t="str">
        <f>IF(A5&lt;&gt;"...",IF(SUMPRODUCT(--(G5:V5&lt;&gt;""))=0,IF(AND('Population Definitions'!D4&lt;&gt;"",'Population Definitions'!C4&lt;&gt;""),1/('Population Definitions'!D4-'Population Definitions'!C4+1),0),"N.A."),"")</f>
        <v/>
      </c>
      <c r="F5" t="str">
        <f t="shared" si="1"/>
        <v/>
      </c>
    </row>
    <row r="6" spans="1:12" x14ac:dyDescent="0.25">
      <c r="A6" t="str">
        <f>IF('Transfer Definitions'!B4="y",'Population Definitions'!$A$4,"...")</f>
        <v>...</v>
      </c>
      <c r="B6" t="str">
        <f>IF('Transfer Definitions'!B4="y","---&gt;","")</f>
        <v/>
      </c>
      <c r="C6" t="str">
        <f>IF('Transfer Definitions'!B4="y",'Population Definitions'!$A$2,"")</f>
        <v/>
      </c>
      <c r="D6" t="str">
        <f t="shared" si="0"/>
        <v/>
      </c>
      <c r="E6" s="37" t="str">
        <f>IF(A6&lt;&gt;"...",IF(SUMPRODUCT(--(G6:V6&lt;&gt;""))=0,IF(AND('Population Definitions'!D6&lt;&gt;"",'Population Definitions'!C6&lt;&gt;""),1/('Population Definitions'!D6-'Population Definitions'!C6+1),0),"N.A."),"")</f>
        <v/>
      </c>
      <c r="F6" t="str">
        <f t="shared" si="1"/>
        <v/>
      </c>
    </row>
    <row r="7" spans="1:12" x14ac:dyDescent="0.25">
      <c r="A7" t="str">
        <f>IF('Transfer Definitions'!C4="y",'Population Definitions'!$A$4,"...")</f>
        <v>...</v>
      </c>
      <c r="B7" t="str">
        <f>IF('Transfer Definitions'!C4="y","---&gt;","")</f>
        <v/>
      </c>
      <c r="C7" t="str">
        <f>IF('Transfer Definitions'!C4="y",'Population Definitions'!$A$3,"")</f>
        <v/>
      </c>
      <c r="D7" t="str">
        <f t="shared" si="0"/>
        <v/>
      </c>
      <c r="E7" s="37" t="str">
        <f>IF(A7&lt;&gt;"...",IF(SUMPRODUCT(--(G7:V7&lt;&gt;""))=0,IF(AND('Population Definitions'!D6&lt;&gt;"",'Population Definitions'!C6&lt;&gt;""),1/('Population Definitions'!D6-'Population Definitions'!C6+1),0),"N.A."),"")</f>
        <v/>
      </c>
      <c r="F7" t="str">
        <f t="shared" si="1"/>
        <v/>
      </c>
    </row>
  </sheetData>
  <dataValidations count="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1" sqref="A11"/>
    </sheetView>
  </sheetViews>
  <sheetFormatPr defaultRowHeight="15" x14ac:dyDescent="0.25"/>
  <cols>
    <col min="1" max="1" width="44.28515625" bestFit="1" customWidth="1"/>
    <col min="2" max="2" width="12.5703125" bestFit="1" customWidth="1"/>
    <col min="3" max="3" width="3.140625" bestFit="1" customWidth="1"/>
    <col min="4" max="4" width="5" bestFit="1" customWidth="1"/>
    <col min="5" max="5" width="5.28515625" bestFit="1" customWidth="1"/>
  </cols>
  <sheetData>
    <row r="1" spans="1:5" x14ac:dyDescent="0.25">
      <c r="A1" s="65" t="s">
        <v>0</v>
      </c>
      <c r="B1" s="65" t="s">
        <v>1</v>
      </c>
      <c r="C1" s="65" t="s">
        <v>42</v>
      </c>
      <c r="D1" s="65" t="s">
        <v>40</v>
      </c>
      <c r="E1" s="65" t="s">
        <v>38</v>
      </c>
    </row>
    <row r="2" spans="1:5" s="41" customFormat="1" x14ac:dyDescent="0.25">
      <c r="A2" s="66" t="s">
        <v>46</v>
      </c>
      <c r="B2" s="66" t="s">
        <v>82</v>
      </c>
      <c r="C2" s="64" t="s">
        <v>83</v>
      </c>
      <c r="D2" s="64" t="s">
        <v>6</v>
      </c>
      <c r="E2" s="64" t="s">
        <v>6</v>
      </c>
    </row>
    <row r="3" spans="1:5" x14ac:dyDescent="0.25">
      <c r="A3" s="66" t="s">
        <v>53</v>
      </c>
      <c r="B3" s="66" t="s">
        <v>84</v>
      </c>
      <c r="C3" s="64" t="s">
        <v>6</v>
      </c>
      <c r="D3" s="64" t="s">
        <v>83</v>
      </c>
      <c r="E3" s="64" t="s">
        <v>6</v>
      </c>
    </row>
    <row r="4" spans="1:5" x14ac:dyDescent="0.25">
      <c r="A4" s="66" t="s">
        <v>54</v>
      </c>
      <c r="B4" s="66" t="s">
        <v>85</v>
      </c>
      <c r="C4" s="64" t="s">
        <v>6</v>
      </c>
      <c r="D4" s="64" t="s">
        <v>6</v>
      </c>
      <c r="E4" s="64" t="s">
        <v>83</v>
      </c>
    </row>
    <row r="5" spans="1:5" x14ac:dyDescent="0.25">
      <c r="A5" s="64" t="s">
        <v>55</v>
      </c>
      <c r="B5" s="64" t="s">
        <v>86</v>
      </c>
      <c r="C5" s="64" t="s">
        <v>83</v>
      </c>
      <c r="D5" s="64" t="s">
        <v>6</v>
      </c>
      <c r="E5" s="64" t="s">
        <v>6</v>
      </c>
    </row>
    <row r="6" spans="1:5" x14ac:dyDescent="0.25">
      <c r="A6" s="64" t="s">
        <v>62</v>
      </c>
      <c r="B6" s="64" t="s">
        <v>87</v>
      </c>
      <c r="C6" s="64" t="s">
        <v>6</v>
      </c>
      <c r="D6" s="64" t="s">
        <v>83</v>
      </c>
      <c r="E6" s="64" t="s">
        <v>6</v>
      </c>
    </row>
    <row r="7" spans="1:5" x14ac:dyDescent="0.25">
      <c r="A7" s="64" t="s">
        <v>63</v>
      </c>
      <c r="B7" s="64" t="s">
        <v>88</v>
      </c>
      <c r="C7" s="64" t="s">
        <v>6</v>
      </c>
      <c r="D7" s="64" t="s">
        <v>6</v>
      </c>
      <c r="E7" s="64" t="s">
        <v>83</v>
      </c>
    </row>
    <row r="8" spans="1:5" x14ac:dyDescent="0.25">
      <c r="A8" s="64" t="s">
        <v>64</v>
      </c>
      <c r="B8" s="64" t="s">
        <v>61</v>
      </c>
      <c r="C8" s="64" t="s">
        <v>6</v>
      </c>
      <c r="D8" s="64" t="s">
        <v>83</v>
      </c>
      <c r="E8" s="64" t="s">
        <v>6</v>
      </c>
    </row>
    <row r="9" spans="1:5" x14ac:dyDescent="0.25">
      <c r="A9" s="64" t="s">
        <v>69</v>
      </c>
      <c r="B9" s="64" t="s">
        <v>89</v>
      </c>
      <c r="C9" s="64" t="s">
        <v>83</v>
      </c>
      <c r="D9" s="64" t="s">
        <v>83</v>
      </c>
      <c r="E9" s="64" t="s">
        <v>83</v>
      </c>
    </row>
    <row r="10" spans="1:5" x14ac:dyDescent="0.25">
      <c r="A10" s="64" t="s">
        <v>74</v>
      </c>
      <c r="B10" s="64" t="s">
        <v>90</v>
      </c>
      <c r="C10" s="64" t="s">
        <v>83</v>
      </c>
      <c r="D10" s="64" t="s">
        <v>83</v>
      </c>
      <c r="E10" s="64" t="s">
        <v>83</v>
      </c>
    </row>
    <row r="11" spans="1:5" x14ac:dyDescent="0.25">
      <c r="A11" s="64" t="s">
        <v>77</v>
      </c>
      <c r="B11" s="64" t="s">
        <v>91</v>
      </c>
      <c r="C11" s="64" t="s">
        <v>83</v>
      </c>
      <c r="D11" s="64" t="s">
        <v>6</v>
      </c>
      <c r="E11" s="64" t="s">
        <v>6</v>
      </c>
    </row>
    <row r="12" spans="1:5" x14ac:dyDescent="0.25">
      <c r="A12" s="64" t="s">
        <v>78</v>
      </c>
      <c r="B12" s="64" t="s">
        <v>92</v>
      </c>
      <c r="C12" s="64" t="s">
        <v>6</v>
      </c>
      <c r="D12" s="64" t="s">
        <v>83</v>
      </c>
      <c r="E12" s="64" t="s">
        <v>6</v>
      </c>
    </row>
    <row r="13" spans="1:5" x14ac:dyDescent="0.25">
      <c r="A13" s="64" t="s">
        <v>79</v>
      </c>
      <c r="B13" s="64" t="s">
        <v>93</v>
      </c>
      <c r="C13" s="64" t="s">
        <v>6</v>
      </c>
      <c r="D13" s="64" t="s">
        <v>6</v>
      </c>
      <c r="E13" s="64" t="s">
        <v>83</v>
      </c>
    </row>
    <row r="14" spans="1:5" x14ac:dyDescent="0.25">
      <c r="A14" s="64" t="s">
        <v>80</v>
      </c>
      <c r="B14" s="64" t="s">
        <v>94</v>
      </c>
      <c r="C14" s="64" t="s">
        <v>83</v>
      </c>
      <c r="D14" s="64" t="s">
        <v>83</v>
      </c>
      <c r="E14" s="64" t="s">
        <v>83</v>
      </c>
    </row>
    <row r="15" spans="1:5" x14ac:dyDescent="0.25">
      <c r="A15" s="64" t="s">
        <v>81</v>
      </c>
      <c r="B15" s="64" t="s">
        <v>95</v>
      </c>
      <c r="C15" s="64" t="s">
        <v>6</v>
      </c>
      <c r="D15" s="64" t="s">
        <v>6</v>
      </c>
      <c r="E15" s="64" t="s">
        <v>83</v>
      </c>
    </row>
  </sheetData>
  <dataValidations count="1">
    <dataValidation type="list" showInputMessage="1" showErrorMessage="1" sqref="C2:E3">
      <formula1>"n,y"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F119" sqref="F119:K119"/>
    </sheetView>
  </sheetViews>
  <sheetFormatPr defaultRowHeight="15" x14ac:dyDescent="0.25"/>
  <cols>
    <col min="1" max="2" width="35.7109375" customWidth="1"/>
    <col min="3" max="4" width="10.7109375" customWidth="1"/>
  </cols>
  <sheetData>
    <row r="1" spans="1:11" x14ac:dyDescent="0.25">
      <c r="A1" s="48" t="s">
        <v>46</v>
      </c>
      <c r="B1" s="47" t="s">
        <v>47</v>
      </c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5">
      <c r="A2" s="47" t="s">
        <v>10</v>
      </c>
      <c r="B2" s="47"/>
      <c r="C2" s="48" t="s">
        <v>7</v>
      </c>
      <c r="D2" s="48" t="s">
        <v>8</v>
      </c>
      <c r="E2" s="48"/>
      <c r="F2" s="48">
        <v>2000</v>
      </c>
      <c r="G2" s="48">
        <v>2365</v>
      </c>
      <c r="H2" s="48">
        <v>2730</v>
      </c>
      <c r="I2" s="48">
        <v>3095</v>
      </c>
      <c r="J2" s="48">
        <v>3460</v>
      </c>
      <c r="K2" s="48">
        <v>3825</v>
      </c>
    </row>
    <row r="3" spans="1:11" x14ac:dyDescent="0.25">
      <c r="A3" s="47" t="s">
        <v>11</v>
      </c>
      <c r="B3" s="47" t="s">
        <v>48</v>
      </c>
      <c r="C3" s="47" t="s">
        <v>13</v>
      </c>
      <c r="D3" s="47" t="s">
        <v>45</v>
      </c>
      <c r="E3" s="47" t="s">
        <v>15</v>
      </c>
      <c r="F3" s="47">
        <v>1</v>
      </c>
      <c r="G3" s="47">
        <v>1</v>
      </c>
      <c r="H3" s="47">
        <v>1</v>
      </c>
      <c r="I3" s="47">
        <v>1</v>
      </c>
      <c r="J3" s="47">
        <v>1</v>
      </c>
      <c r="K3" s="47">
        <v>1</v>
      </c>
    </row>
    <row r="4" spans="1:11" x14ac:dyDescent="0.25">
      <c r="A4" s="47" t="s">
        <v>10</v>
      </c>
      <c r="B4" s="47" t="s">
        <v>12</v>
      </c>
      <c r="C4" s="47" t="s">
        <v>14</v>
      </c>
      <c r="D4" s="47" t="s">
        <v>45</v>
      </c>
      <c r="E4" s="47" t="s">
        <v>15</v>
      </c>
      <c r="F4" s="47">
        <v>100</v>
      </c>
      <c r="G4" s="47">
        <v>100</v>
      </c>
      <c r="H4" s="47">
        <v>100</v>
      </c>
      <c r="I4" s="47">
        <v>100</v>
      </c>
      <c r="J4" s="47">
        <v>100</v>
      </c>
      <c r="K4" s="47">
        <v>100</v>
      </c>
    </row>
    <row r="5" spans="1:11" x14ac:dyDescent="0.25">
      <c r="A5" s="47" t="s">
        <v>10</v>
      </c>
      <c r="B5" s="47" t="s">
        <v>49</v>
      </c>
      <c r="C5" s="47" t="s">
        <v>14</v>
      </c>
      <c r="D5" s="52">
        <v>1.3564361497043536</v>
      </c>
      <c r="E5" s="47" t="s">
        <v>15</v>
      </c>
      <c r="F5" s="56">
        <v>1.5715068892092401</v>
      </c>
      <c r="G5" s="57">
        <v>0.88471709584028302</v>
      </c>
      <c r="H5" s="57">
        <v>1.39810947792616</v>
      </c>
      <c r="I5" s="56">
        <v>1.3164400203637801</v>
      </c>
      <c r="J5" s="57">
        <v>1.24545351247153</v>
      </c>
      <c r="K5" s="57">
        <v>1.7223899024151299</v>
      </c>
    </row>
    <row r="6" spans="1:11" s="37" customFormat="1" x14ac:dyDescent="0.25">
      <c r="A6" s="47" t="s">
        <v>50</v>
      </c>
      <c r="B6" s="53" t="s">
        <v>51</v>
      </c>
      <c r="C6" s="47" t="s">
        <v>52</v>
      </c>
      <c r="D6" s="47" t="s">
        <v>45</v>
      </c>
      <c r="E6" s="47" t="s">
        <v>15</v>
      </c>
      <c r="F6" s="50">
        <v>2062.3893805275343</v>
      </c>
      <c r="G6" s="49">
        <v>2141.1297194785702</v>
      </c>
      <c r="H6" s="49">
        <v>2176.2649440257615</v>
      </c>
      <c r="I6" s="49">
        <v>1633.6416062938135</v>
      </c>
      <c r="J6" s="49">
        <v>941.62880703889596</v>
      </c>
      <c r="K6" s="49">
        <v>730.17752530852329</v>
      </c>
    </row>
    <row r="7" spans="1:11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x14ac:dyDescent="0.25">
      <c r="A8" s="48" t="s">
        <v>53</v>
      </c>
      <c r="B8" s="47" t="s">
        <v>47</v>
      </c>
      <c r="C8" s="47"/>
      <c r="D8" s="47"/>
      <c r="E8" s="47"/>
      <c r="F8" s="47"/>
      <c r="G8" s="47"/>
      <c r="H8" s="47"/>
      <c r="I8" s="47"/>
      <c r="J8" s="47"/>
      <c r="K8" s="47"/>
    </row>
    <row r="9" spans="1:11" x14ac:dyDescent="0.25">
      <c r="A9" s="47" t="s">
        <v>10</v>
      </c>
      <c r="B9" s="47"/>
      <c r="C9" s="48" t="s">
        <v>7</v>
      </c>
      <c r="D9" s="48" t="s">
        <v>8</v>
      </c>
      <c r="E9" s="48"/>
      <c r="F9" s="48">
        <v>2000</v>
      </c>
      <c r="G9" s="48">
        <v>2365</v>
      </c>
      <c r="H9" s="48">
        <v>2730</v>
      </c>
      <c r="I9" s="48">
        <v>3095</v>
      </c>
      <c r="J9" s="48">
        <v>3460</v>
      </c>
      <c r="K9" s="48">
        <v>3825</v>
      </c>
    </row>
    <row r="10" spans="1:11" x14ac:dyDescent="0.25">
      <c r="A10" s="47" t="s">
        <v>11</v>
      </c>
      <c r="B10" s="47" t="s">
        <v>48</v>
      </c>
      <c r="C10" s="47" t="s">
        <v>13</v>
      </c>
      <c r="D10" s="47" t="s">
        <v>45</v>
      </c>
      <c r="E10" s="47" t="s">
        <v>15</v>
      </c>
      <c r="F10" s="47">
        <v>1</v>
      </c>
      <c r="G10" s="47">
        <v>1</v>
      </c>
      <c r="H10" s="47">
        <v>1</v>
      </c>
      <c r="I10" s="47">
        <v>1</v>
      </c>
      <c r="J10" s="47">
        <v>1</v>
      </c>
      <c r="K10" s="47">
        <v>1</v>
      </c>
    </row>
    <row r="11" spans="1:11" x14ac:dyDescent="0.25">
      <c r="A11" s="47" t="s">
        <v>10</v>
      </c>
      <c r="B11" s="47" t="s">
        <v>12</v>
      </c>
      <c r="C11" s="47" t="s">
        <v>14</v>
      </c>
      <c r="D11" s="47" t="s">
        <v>45</v>
      </c>
      <c r="E11" s="47" t="s">
        <v>15</v>
      </c>
      <c r="F11" s="47">
        <v>100</v>
      </c>
      <c r="G11" s="47">
        <v>100</v>
      </c>
      <c r="H11" s="47">
        <v>100</v>
      </c>
      <c r="I11" s="47">
        <v>100</v>
      </c>
      <c r="J11" s="47">
        <v>100</v>
      </c>
      <c r="K11" s="47">
        <v>100</v>
      </c>
    </row>
    <row r="12" spans="1:11" x14ac:dyDescent="0.25">
      <c r="A12" s="47" t="s">
        <v>10</v>
      </c>
      <c r="B12" s="47" t="s">
        <v>49</v>
      </c>
      <c r="C12" s="47" t="s">
        <v>14</v>
      </c>
      <c r="D12" s="52">
        <v>0.87091683170740952</v>
      </c>
      <c r="E12" s="47" t="s">
        <v>15</v>
      </c>
      <c r="F12" s="56">
        <v>1.1101300069206399</v>
      </c>
      <c r="G12" s="57">
        <v>0.68183973610100002</v>
      </c>
      <c r="H12" s="57">
        <v>0.85177828849216497</v>
      </c>
      <c r="I12" s="56">
        <v>0.75866192238517705</v>
      </c>
      <c r="J12" s="57">
        <v>0.679777642829405</v>
      </c>
      <c r="K12" s="57">
        <v>1.14331339351607</v>
      </c>
    </row>
    <row r="13" spans="1:11" x14ac:dyDescent="0.25">
      <c r="A13" s="47" t="s">
        <v>50</v>
      </c>
      <c r="B13" s="53" t="s">
        <v>51</v>
      </c>
      <c r="C13" s="47" t="s">
        <v>52</v>
      </c>
      <c r="D13" s="47" t="s">
        <v>45</v>
      </c>
      <c r="E13" s="47" t="s">
        <v>15</v>
      </c>
      <c r="F13" s="58">
        <v>400.23040686009313</v>
      </c>
      <c r="G13" s="58">
        <v>365.48800916021918</v>
      </c>
      <c r="H13" s="58">
        <v>336.04710541772874</v>
      </c>
      <c r="I13" s="58">
        <v>249.72306923311015</v>
      </c>
      <c r="J13" s="58">
        <v>143.15536802549505</v>
      </c>
      <c r="K13" s="58">
        <v>137.71708290030111</v>
      </c>
    </row>
    <row r="15" spans="1:11" x14ac:dyDescent="0.25">
      <c r="A15" s="48" t="s">
        <v>54</v>
      </c>
      <c r="B15" s="47" t="s">
        <v>47</v>
      </c>
      <c r="C15" s="47"/>
      <c r="D15" s="47"/>
      <c r="E15" s="47"/>
      <c r="F15" s="47"/>
      <c r="G15" s="47"/>
      <c r="H15" s="47"/>
      <c r="I15" s="47"/>
      <c r="J15" s="47"/>
      <c r="K15" s="47"/>
    </row>
    <row r="16" spans="1:11" x14ac:dyDescent="0.25">
      <c r="A16" s="47" t="s">
        <v>10</v>
      </c>
      <c r="B16" s="47"/>
      <c r="C16" s="48" t="s">
        <v>7</v>
      </c>
      <c r="D16" s="48" t="s">
        <v>8</v>
      </c>
      <c r="E16" s="48"/>
      <c r="F16" s="48">
        <v>2000</v>
      </c>
      <c r="G16" s="48">
        <v>2365</v>
      </c>
      <c r="H16" s="48">
        <v>2730</v>
      </c>
      <c r="I16" s="48">
        <v>3095</v>
      </c>
      <c r="J16" s="48">
        <v>3460</v>
      </c>
      <c r="K16" s="48">
        <v>3825</v>
      </c>
    </row>
    <row r="17" spans="1:11" x14ac:dyDescent="0.25">
      <c r="A17" s="47" t="s">
        <v>11</v>
      </c>
      <c r="B17" s="47" t="s">
        <v>48</v>
      </c>
      <c r="C17" s="47" t="s">
        <v>13</v>
      </c>
      <c r="D17" s="47" t="s">
        <v>45</v>
      </c>
      <c r="E17" s="47" t="s">
        <v>15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7">
        <v>1</v>
      </c>
    </row>
    <row r="18" spans="1:11" x14ac:dyDescent="0.25">
      <c r="A18" s="47" t="s">
        <v>10</v>
      </c>
      <c r="B18" s="47" t="s">
        <v>12</v>
      </c>
      <c r="C18" s="47" t="s">
        <v>14</v>
      </c>
      <c r="D18" s="47" t="s">
        <v>45</v>
      </c>
      <c r="E18" s="47" t="s">
        <v>15</v>
      </c>
      <c r="F18" s="47">
        <v>100</v>
      </c>
      <c r="G18" s="47">
        <v>100</v>
      </c>
      <c r="H18" s="47">
        <v>100</v>
      </c>
      <c r="I18" s="47">
        <v>100</v>
      </c>
      <c r="J18" s="47">
        <v>100</v>
      </c>
      <c r="K18" s="47">
        <v>100</v>
      </c>
    </row>
    <row r="19" spans="1:11" x14ac:dyDescent="0.25">
      <c r="A19" s="47" t="s">
        <v>10</v>
      </c>
      <c r="B19" s="47" t="s">
        <v>49</v>
      </c>
      <c r="C19" s="47" t="s">
        <v>14</v>
      </c>
      <c r="D19" s="52">
        <v>1.0747816274842761</v>
      </c>
      <c r="E19" s="47" t="s">
        <v>15</v>
      </c>
      <c r="F19" s="57">
        <v>1.12625737370678</v>
      </c>
      <c r="G19" s="57">
        <v>0.91647216589372704</v>
      </c>
      <c r="H19" s="57">
        <v>1.05948622888665</v>
      </c>
      <c r="I19" s="57">
        <v>0.95847194998164598</v>
      </c>
      <c r="J19" s="57">
        <v>0.93389851838634397</v>
      </c>
      <c r="K19" s="57">
        <v>1.4541035280505099</v>
      </c>
    </row>
    <row r="20" spans="1:11" x14ac:dyDescent="0.25">
      <c r="A20" s="47" t="s">
        <v>50</v>
      </c>
      <c r="B20" s="53" t="s">
        <v>51</v>
      </c>
      <c r="C20" s="47" t="s">
        <v>52</v>
      </c>
      <c r="D20" s="47" t="s">
        <v>45</v>
      </c>
      <c r="E20" s="47" t="s">
        <v>15</v>
      </c>
      <c r="F20" s="49">
        <v>239.30514523175535</v>
      </c>
      <c r="G20" s="49">
        <v>249.78604845193973</v>
      </c>
      <c r="H20" s="49">
        <v>289.94873771989865</v>
      </c>
      <c r="I20" s="49">
        <v>480.30301504460544</v>
      </c>
      <c r="J20" s="49">
        <v>406.54498816843284</v>
      </c>
      <c r="K20" s="49">
        <v>925.12701175056725</v>
      </c>
    </row>
    <row r="21" spans="1:1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1:11" x14ac:dyDescent="0.25">
      <c r="A22" s="48" t="s">
        <v>64</v>
      </c>
      <c r="B22" s="47" t="s">
        <v>65</v>
      </c>
      <c r="C22" s="47"/>
      <c r="D22" s="47"/>
      <c r="E22" s="47"/>
      <c r="F22" s="47"/>
      <c r="G22" s="47"/>
      <c r="H22" s="47"/>
      <c r="I22" s="47"/>
      <c r="J22" s="47"/>
      <c r="K22" s="47"/>
    </row>
    <row r="23" spans="1:11" x14ac:dyDescent="0.25">
      <c r="A23" s="47" t="s">
        <v>10</v>
      </c>
      <c r="B23" s="47"/>
      <c r="C23" s="48" t="s">
        <v>7</v>
      </c>
      <c r="D23" s="48" t="s">
        <v>8</v>
      </c>
      <c r="E23" s="48"/>
      <c r="F23" s="48">
        <v>2000</v>
      </c>
      <c r="G23" s="48">
        <v>2365</v>
      </c>
      <c r="H23" s="48">
        <v>2730</v>
      </c>
      <c r="I23" s="48">
        <v>3095</v>
      </c>
      <c r="J23" s="48">
        <v>3460</v>
      </c>
      <c r="K23" s="48">
        <v>3825</v>
      </c>
    </row>
    <row r="24" spans="1:11" x14ac:dyDescent="0.25">
      <c r="A24" s="47" t="s">
        <v>11</v>
      </c>
      <c r="B24" s="47" t="s">
        <v>48</v>
      </c>
      <c r="C24" s="47" t="s">
        <v>9</v>
      </c>
      <c r="D24" s="47" t="s">
        <v>45</v>
      </c>
      <c r="E24" s="47" t="s">
        <v>15</v>
      </c>
      <c r="F24" s="54"/>
      <c r="G24" s="54"/>
      <c r="H24" s="54"/>
      <c r="I24" s="54">
        <v>0.61</v>
      </c>
      <c r="J24" s="54"/>
      <c r="K24" s="54">
        <v>0.61</v>
      </c>
    </row>
    <row r="25" spans="1:11" x14ac:dyDescent="0.25">
      <c r="A25" s="47" t="s">
        <v>10</v>
      </c>
      <c r="B25" s="47" t="s">
        <v>12</v>
      </c>
      <c r="C25" s="47" t="s">
        <v>14</v>
      </c>
      <c r="D25" s="47" t="s">
        <v>45</v>
      </c>
      <c r="E25" s="47" t="s">
        <v>15</v>
      </c>
      <c r="F25" s="60">
        <v>100</v>
      </c>
      <c r="G25" s="60">
        <v>100</v>
      </c>
      <c r="H25" s="60">
        <v>100</v>
      </c>
      <c r="I25" s="60">
        <v>100</v>
      </c>
      <c r="J25" s="60">
        <v>100</v>
      </c>
      <c r="K25" s="60">
        <v>100</v>
      </c>
    </row>
    <row r="26" spans="1:11" x14ac:dyDescent="0.25">
      <c r="A26" s="47" t="s">
        <v>10</v>
      </c>
      <c r="B26" s="47" t="s">
        <v>49</v>
      </c>
      <c r="C26" s="47" t="s">
        <v>14</v>
      </c>
      <c r="D26" s="52">
        <v>0.12950098048847566</v>
      </c>
      <c r="E26" s="47" t="s">
        <v>15</v>
      </c>
      <c r="F26" s="56">
        <v>5.5528571428557098E-2</v>
      </c>
      <c r="G26" s="56">
        <v>6.6136764705882395E-2</v>
      </c>
      <c r="H26" s="56">
        <v>8.8823707644917399E-2</v>
      </c>
      <c r="I26" s="56">
        <v>0.13647876499647099</v>
      </c>
      <c r="J26" s="56">
        <v>0.203131231231231</v>
      </c>
      <c r="K26" s="56">
        <v>0.22690684292379501</v>
      </c>
    </row>
    <row r="27" spans="1:11" x14ac:dyDescent="0.25">
      <c r="A27" s="47" t="s">
        <v>50</v>
      </c>
      <c r="B27" s="47" t="s">
        <v>66</v>
      </c>
      <c r="C27" s="47" t="s">
        <v>52</v>
      </c>
      <c r="D27" s="47">
        <v>0.9</v>
      </c>
      <c r="E27" s="47" t="s">
        <v>15</v>
      </c>
      <c r="F27" s="60"/>
      <c r="G27" s="60"/>
      <c r="H27" s="60"/>
      <c r="I27" s="60"/>
      <c r="J27" s="60"/>
      <c r="K27" s="60"/>
    </row>
    <row r="28" spans="1:11" x14ac:dyDescent="0.25">
      <c r="A28" s="47" t="s">
        <v>10</v>
      </c>
      <c r="B28" s="47" t="s">
        <v>67</v>
      </c>
      <c r="C28" s="47" t="s">
        <v>52</v>
      </c>
      <c r="D28" s="47">
        <v>0.9</v>
      </c>
      <c r="E28" s="47" t="s">
        <v>15</v>
      </c>
      <c r="F28" s="60"/>
      <c r="G28" s="60"/>
      <c r="H28" s="60"/>
      <c r="I28" s="60"/>
      <c r="J28" s="60"/>
      <c r="K28" s="60"/>
    </row>
    <row r="29" spans="1:11" x14ac:dyDescent="0.25">
      <c r="A29" s="47" t="s">
        <v>10</v>
      </c>
      <c r="B29" s="47" t="s">
        <v>68</v>
      </c>
      <c r="C29" s="47" t="s">
        <v>52</v>
      </c>
      <c r="D29" s="47" t="s">
        <v>45</v>
      </c>
      <c r="E29" s="47" t="s">
        <v>15</v>
      </c>
      <c r="F29" s="63"/>
      <c r="G29" s="63"/>
      <c r="H29" s="63"/>
      <c r="I29" s="62">
        <v>0.50600000000000001</v>
      </c>
      <c r="J29" s="63"/>
      <c r="K29" s="62">
        <v>0.50600000000000001</v>
      </c>
    </row>
    <row r="31" spans="1:11" x14ac:dyDescent="0.25">
      <c r="A31" s="48" t="s">
        <v>69</v>
      </c>
      <c r="B31" s="47" t="s">
        <v>70</v>
      </c>
      <c r="C31" s="47"/>
      <c r="D31" s="47"/>
      <c r="E31" s="47"/>
      <c r="F31" s="47"/>
      <c r="G31" s="47"/>
      <c r="H31" s="47"/>
      <c r="I31" s="47"/>
      <c r="J31" s="47"/>
      <c r="K31" s="47"/>
    </row>
    <row r="32" spans="1:11" x14ac:dyDescent="0.25">
      <c r="A32" s="47" t="s">
        <v>10</v>
      </c>
      <c r="B32" s="47"/>
      <c r="C32" s="48" t="s">
        <v>7</v>
      </c>
      <c r="D32" s="48" t="s">
        <v>8</v>
      </c>
      <c r="E32" s="48"/>
      <c r="F32" s="48">
        <v>2000</v>
      </c>
      <c r="G32" s="48">
        <v>2365</v>
      </c>
      <c r="H32" s="48">
        <v>2730</v>
      </c>
      <c r="I32" s="48">
        <v>3095</v>
      </c>
      <c r="J32" s="48">
        <v>3460</v>
      </c>
      <c r="K32" s="48">
        <v>3825</v>
      </c>
    </row>
    <row r="33" spans="1:11" x14ac:dyDescent="0.25">
      <c r="A33" s="47" t="s">
        <v>11</v>
      </c>
      <c r="B33" s="47" t="s">
        <v>48</v>
      </c>
      <c r="C33" s="47" t="s">
        <v>9</v>
      </c>
      <c r="D33" s="47" t="s">
        <v>45</v>
      </c>
      <c r="E33" s="47" t="s">
        <v>15</v>
      </c>
      <c r="F33" s="54"/>
      <c r="G33" s="54"/>
      <c r="H33" s="54"/>
      <c r="I33" s="54">
        <v>3.5999999999999997E-2</v>
      </c>
      <c r="J33" s="54"/>
      <c r="K33" s="54">
        <v>3.5999999999999997E-2</v>
      </c>
    </row>
    <row r="34" spans="1:11" x14ac:dyDescent="0.25">
      <c r="A34" s="47" t="s">
        <v>10</v>
      </c>
      <c r="B34" s="47" t="s">
        <v>12</v>
      </c>
      <c r="C34" s="47" t="s">
        <v>14</v>
      </c>
      <c r="D34" s="47" t="s">
        <v>45</v>
      </c>
      <c r="E34" s="47" t="s">
        <v>15</v>
      </c>
      <c r="F34" s="60">
        <v>100</v>
      </c>
      <c r="G34" s="60">
        <v>100</v>
      </c>
      <c r="H34" s="60">
        <v>100</v>
      </c>
      <c r="I34" s="60">
        <v>100</v>
      </c>
      <c r="J34" s="60">
        <v>100</v>
      </c>
      <c r="K34" s="60">
        <v>100</v>
      </c>
    </row>
    <row r="35" spans="1:11" x14ac:dyDescent="0.25">
      <c r="A35" s="47" t="s">
        <v>10</v>
      </c>
      <c r="B35" s="47" t="s">
        <v>71</v>
      </c>
      <c r="C35" s="47" t="s">
        <v>14</v>
      </c>
      <c r="D35" s="52">
        <v>0.15587496660432809</v>
      </c>
      <c r="E35" s="47" t="s">
        <v>15</v>
      </c>
      <c r="F35" s="57">
        <v>0.15587496660432809</v>
      </c>
      <c r="G35" s="57">
        <v>0.15587496660432809</v>
      </c>
      <c r="H35" s="57">
        <v>0.15587496660432809</v>
      </c>
      <c r="I35" s="57"/>
      <c r="J35" s="57"/>
      <c r="K35" s="57">
        <v>0.15587496660432809</v>
      </c>
    </row>
    <row r="36" spans="1:11" x14ac:dyDescent="0.25">
      <c r="A36" s="47" t="s">
        <v>50</v>
      </c>
      <c r="B36" s="53" t="s">
        <v>72</v>
      </c>
      <c r="C36" s="47" t="s">
        <v>52</v>
      </c>
      <c r="D36" s="60">
        <v>0.3</v>
      </c>
      <c r="E36" s="47" t="s">
        <v>15</v>
      </c>
      <c r="F36" s="47"/>
      <c r="G36" s="60"/>
      <c r="H36" s="60"/>
      <c r="I36" s="60"/>
      <c r="J36" s="60"/>
      <c r="K36" s="60"/>
    </row>
    <row r="37" spans="1:11" x14ac:dyDescent="0.25">
      <c r="A37" s="47" t="s">
        <v>10</v>
      </c>
      <c r="B37" s="53" t="s">
        <v>73</v>
      </c>
      <c r="C37" s="47" t="s">
        <v>52</v>
      </c>
      <c r="D37" s="60">
        <v>0.5</v>
      </c>
      <c r="E37" s="47" t="s">
        <v>15</v>
      </c>
      <c r="F37" s="47"/>
      <c r="G37" s="60"/>
      <c r="H37" s="60"/>
      <c r="I37" s="60"/>
      <c r="J37" s="60"/>
      <c r="K37" s="60"/>
    </row>
    <row r="38" spans="1:11" x14ac:dyDescent="0.25">
      <c r="A38" s="47" t="s">
        <v>10</v>
      </c>
      <c r="B38" s="53" t="s">
        <v>68</v>
      </c>
      <c r="C38" s="47" t="s">
        <v>52</v>
      </c>
      <c r="D38" s="54">
        <v>1</v>
      </c>
      <c r="E38" s="47" t="s">
        <v>15</v>
      </c>
      <c r="F38" s="60"/>
      <c r="G38" s="60"/>
      <c r="H38" s="60"/>
      <c r="I38" s="60"/>
      <c r="J38" s="60"/>
      <c r="K38" s="60"/>
    </row>
    <row r="40" spans="1:11" x14ac:dyDescent="0.25">
      <c r="A40" s="48" t="s">
        <v>74</v>
      </c>
      <c r="B40" s="47" t="s">
        <v>75</v>
      </c>
      <c r="C40" s="47"/>
      <c r="D40" s="47"/>
      <c r="E40" s="47"/>
      <c r="F40" s="47"/>
      <c r="G40" s="47"/>
      <c r="H40" s="47"/>
      <c r="I40" s="47"/>
      <c r="J40" s="47"/>
      <c r="K40" s="47"/>
    </row>
    <row r="41" spans="1:11" x14ac:dyDescent="0.25">
      <c r="A41" s="47" t="s">
        <v>10</v>
      </c>
      <c r="B41" s="47"/>
      <c r="C41" s="48" t="s">
        <v>7</v>
      </c>
      <c r="D41" s="48" t="s">
        <v>8</v>
      </c>
      <c r="E41" s="48"/>
      <c r="F41" s="48">
        <v>2000</v>
      </c>
      <c r="G41" s="48">
        <v>2365</v>
      </c>
      <c r="H41" s="48">
        <v>2730</v>
      </c>
      <c r="I41" s="48">
        <v>3095</v>
      </c>
      <c r="J41" s="48">
        <v>3460</v>
      </c>
      <c r="K41" s="48">
        <v>3825</v>
      </c>
    </row>
    <row r="42" spans="1:11" x14ac:dyDescent="0.25">
      <c r="A42" s="47" t="s">
        <v>11</v>
      </c>
      <c r="B42" s="47" t="s">
        <v>48</v>
      </c>
      <c r="C42" s="47" t="s">
        <v>9</v>
      </c>
      <c r="D42" s="47" t="s">
        <v>45</v>
      </c>
      <c r="E42" s="47" t="s">
        <v>15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</row>
    <row r="43" spans="1:11" x14ac:dyDescent="0.25">
      <c r="A43" s="47" t="s">
        <v>10</v>
      </c>
      <c r="B43" s="47" t="s">
        <v>12</v>
      </c>
      <c r="C43" s="47" t="s">
        <v>14</v>
      </c>
      <c r="D43" s="47" t="s">
        <v>45</v>
      </c>
      <c r="E43" s="47" t="s">
        <v>15</v>
      </c>
      <c r="F43" s="60">
        <v>100</v>
      </c>
      <c r="G43" s="60">
        <v>100</v>
      </c>
      <c r="H43" s="60">
        <v>100</v>
      </c>
      <c r="I43" s="60">
        <v>100</v>
      </c>
      <c r="J43" s="60">
        <v>100</v>
      </c>
      <c r="K43" s="60">
        <v>100</v>
      </c>
    </row>
    <row r="44" spans="1:11" x14ac:dyDescent="0.25">
      <c r="A44" s="47" t="s">
        <v>10</v>
      </c>
      <c r="B44" s="47" t="s">
        <v>71</v>
      </c>
      <c r="C44" s="47" t="s">
        <v>14</v>
      </c>
      <c r="D44" s="52">
        <v>1.65</v>
      </c>
      <c r="E44" s="47" t="s">
        <v>15</v>
      </c>
      <c r="F44" s="55"/>
      <c r="G44" s="55"/>
      <c r="H44" s="55"/>
      <c r="I44" s="55"/>
      <c r="J44" s="55"/>
      <c r="K44" s="55">
        <v>1.65</v>
      </c>
    </row>
    <row r="45" spans="1:11" x14ac:dyDescent="0.25">
      <c r="A45" s="47" t="s">
        <v>50</v>
      </c>
      <c r="B45" s="53" t="s">
        <v>76</v>
      </c>
      <c r="C45" s="47" t="s">
        <v>52</v>
      </c>
      <c r="D45" s="47">
        <v>0.52</v>
      </c>
      <c r="E45" s="47" t="s">
        <v>15</v>
      </c>
      <c r="F45" s="60"/>
      <c r="G45" s="60"/>
      <c r="H45" s="60"/>
      <c r="I45" s="60"/>
      <c r="J45" s="60"/>
      <c r="K45" s="60"/>
    </row>
    <row r="47" spans="1:11" x14ac:dyDescent="0.25">
      <c r="A47" s="48" t="s">
        <v>77</v>
      </c>
      <c r="B47" s="47" t="s">
        <v>70</v>
      </c>
      <c r="C47" s="47"/>
      <c r="D47" s="47"/>
      <c r="E47" s="47"/>
      <c r="F47" s="47"/>
      <c r="G47" s="47"/>
      <c r="H47" s="47"/>
      <c r="I47" s="47"/>
      <c r="J47" s="47"/>
      <c r="K47" s="47"/>
    </row>
    <row r="48" spans="1:11" x14ac:dyDescent="0.25">
      <c r="A48" s="47" t="s">
        <v>10</v>
      </c>
      <c r="B48" s="47"/>
      <c r="C48" s="48" t="s">
        <v>7</v>
      </c>
      <c r="D48" s="48" t="s">
        <v>8</v>
      </c>
      <c r="E48" s="48"/>
      <c r="F48" s="48">
        <v>2000</v>
      </c>
      <c r="G48" s="48">
        <v>2365</v>
      </c>
      <c r="H48" s="48">
        <v>2730</v>
      </c>
      <c r="I48" s="48">
        <v>3095</v>
      </c>
      <c r="J48" s="48">
        <v>3460</v>
      </c>
      <c r="K48" s="48">
        <v>3825</v>
      </c>
    </row>
    <row r="49" spans="1:11" x14ac:dyDescent="0.25">
      <c r="A49" s="47" t="s">
        <v>11</v>
      </c>
      <c r="B49" s="47" t="s">
        <v>48</v>
      </c>
      <c r="C49" s="47" t="s">
        <v>9</v>
      </c>
      <c r="D49" s="47" t="s">
        <v>45</v>
      </c>
      <c r="E49" s="47" t="s">
        <v>15</v>
      </c>
      <c r="F49" s="54">
        <v>0.373</v>
      </c>
      <c r="G49" s="54"/>
      <c r="H49" s="54"/>
      <c r="I49" s="63">
        <v>0.115</v>
      </c>
      <c r="J49" s="54"/>
      <c r="K49" s="63">
        <v>0.115</v>
      </c>
    </row>
    <row r="50" spans="1:11" x14ac:dyDescent="0.25">
      <c r="A50" s="47" t="s">
        <v>10</v>
      </c>
      <c r="B50" s="47" t="s">
        <v>12</v>
      </c>
      <c r="C50" s="47" t="s">
        <v>14</v>
      </c>
      <c r="D50" s="47" t="s">
        <v>45</v>
      </c>
      <c r="E50" s="47" t="s">
        <v>15</v>
      </c>
      <c r="F50" s="60">
        <v>100</v>
      </c>
      <c r="G50" s="60">
        <v>100</v>
      </c>
      <c r="H50" s="60">
        <v>100</v>
      </c>
      <c r="I50" s="60">
        <v>100</v>
      </c>
      <c r="J50" s="60">
        <v>100</v>
      </c>
      <c r="K50" s="60">
        <v>100</v>
      </c>
    </row>
    <row r="51" spans="1:11" x14ac:dyDescent="0.25">
      <c r="A51" s="47" t="s">
        <v>10</v>
      </c>
      <c r="B51" s="47" t="s">
        <v>71</v>
      </c>
      <c r="C51" s="47" t="s">
        <v>14</v>
      </c>
      <c r="D51" s="52">
        <v>3.1686111111111113</v>
      </c>
      <c r="E51" s="47" t="s">
        <v>15</v>
      </c>
      <c r="F51" s="55"/>
      <c r="G51" s="55"/>
      <c r="H51" s="55"/>
      <c r="I51" s="57">
        <v>3.2124999999999999</v>
      </c>
      <c r="J51" s="57">
        <v>3.1466666666666665</v>
      </c>
      <c r="K51" s="57">
        <v>3.1466666666666665</v>
      </c>
    </row>
    <row r="52" spans="1:11" x14ac:dyDescent="0.25">
      <c r="A52" s="47" t="s">
        <v>50</v>
      </c>
      <c r="B52" s="53" t="s">
        <v>72</v>
      </c>
      <c r="C52" s="47" t="s">
        <v>52</v>
      </c>
      <c r="D52" s="60">
        <v>0.56000000000000005</v>
      </c>
      <c r="E52" s="47" t="s">
        <v>15</v>
      </c>
      <c r="F52" s="60"/>
      <c r="G52" s="60"/>
      <c r="H52" s="60"/>
      <c r="I52" s="60"/>
      <c r="J52" s="60"/>
      <c r="K52" s="60"/>
    </row>
    <row r="53" spans="1:11" x14ac:dyDescent="0.25">
      <c r="A53" s="47" t="s">
        <v>10</v>
      </c>
      <c r="B53" s="53" t="s">
        <v>73</v>
      </c>
      <c r="C53" s="47" t="s">
        <v>52</v>
      </c>
      <c r="D53" s="60">
        <v>0.41</v>
      </c>
      <c r="E53" s="47" t="s">
        <v>15</v>
      </c>
      <c r="F53" s="60"/>
      <c r="G53" s="60"/>
      <c r="H53" s="60"/>
      <c r="I53" s="60"/>
      <c r="J53" s="60"/>
      <c r="K53" s="60"/>
    </row>
    <row r="54" spans="1:11" x14ac:dyDescent="0.25">
      <c r="A54" s="47" t="s">
        <v>10</v>
      </c>
      <c r="B54" s="53" t="s">
        <v>68</v>
      </c>
      <c r="C54" s="47" t="s">
        <v>52</v>
      </c>
      <c r="D54" s="47" t="s">
        <v>45</v>
      </c>
      <c r="E54" s="47" t="s">
        <v>15</v>
      </c>
      <c r="F54" s="63"/>
      <c r="G54" s="63"/>
      <c r="H54" s="63"/>
      <c r="I54" s="63">
        <v>0.41099999999999998</v>
      </c>
      <c r="J54" s="63"/>
      <c r="K54" s="63">
        <v>0.41099999999999998</v>
      </c>
    </row>
    <row r="56" spans="1:11" x14ac:dyDescent="0.25">
      <c r="A56" s="48" t="s">
        <v>78</v>
      </c>
      <c r="B56" s="47" t="s">
        <v>70</v>
      </c>
      <c r="C56" s="47"/>
      <c r="D56" s="47"/>
      <c r="E56" s="47"/>
      <c r="F56" s="47"/>
      <c r="G56" s="47"/>
      <c r="H56" s="47"/>
      <c r="I56" s="47"/>
      <c r="J56" s="47"/>
      <c r="K56" s="47"/>
    </row>
    <row r="57" spans="1:11" x14ac:dyDescent="0.25">
      <c r="A57" s="47" t="s">
        <v>10</v>
      </c>
      <c r="B57" s="47"/>
      <c r="C57" s="48" t="s">
        <v>7</v>
      </c>
      <c r="D57" s="48" t="s">
        <v>8</v>
      </c>
      <c r="E57" s="48"/>
      <c r="F57" s="48">
        <v>2000</v>
      </c>
      <c r="G57" s="48">
        <v>2365</v>
      </c>
      <c r="H57" s="48">
        <v>2730</v>
      </c>
      <c r="I57" s="48">
        <v>3095</v>
      </c>
      <c r="J57" s="48">
        <v>3460</v>
      </c>
      <c r="K57" s="48">
        <v>3825</v>
      </c>
    </row>
    <row r="58" spans="1:11" x14ac:dyDescent="0.25">
      <c r="A58" s="47" t="s">
        <v>11</v>
      </c>
      <c r="B58" s="47" t="s">
        <v>48</v>
      </c>
      <c r="C58" s="47" t="s">
        <v>9</v>
      </c>
      <c r="D58" s="47" t="s">
        <v>45</v>
      </c>
      <c r="E58" s="47" t="s">
        <v>15</v>
      </c>
      <c r="F58" s="59">
        <v>0.37608318890814557</v>
      </c>
      <c r="G58" s="59"/>
      <c r="H58" s="59"/>
      <c r="I58" s="59">
        <v>0.79400000000000004</v>
      </c>
      <c r="J58" s="59"/>
      <c r="K58" s="59">
        <v>0.79400000000000004</v>
      </c>
    </row>
    <row r="59" spans="1:11" x14ac:dyDescent="0.25">
      <c r="A59" s="47" t="s">
        <v>10</v>
      </c>
      <c r="B59" s="47" t="s">
        <v>12</v>
      </c>
      <c r="C59" s="47" t="s">
        <v>14</v>
      </c>
      <c r="D59" s="47" t="s">
        <v>45</v>
      </c>
      <c r="E59" s="47" t="s">
        <v>15</v>
      </c>
      <c r="F59" s="60">
        <v>100</v>
      </c>
      <c r="G59" s="60">
        <v>100</v>
      </c>
      <c r="H59" s="60">
        <v>100</v>
      </c>
      <c r="I59" s="60">
        <v>100</v>
      </c>
      <c r="J59" s="60">
        <v>100</v>
      </c>
      <c r="K59" s="60">
        <v>100</v>
      </c>
    </row>
    <row r="60" spans="1:11" x14ac:dyDescent="0.25">
      <c r="A60" s="47" t="s">
        <v>10</v>
      </c>
      <c r="B60" s="47" t="s">
        <v>71</v>
      </c>
      <c r="C60" s="47" t="s">
        <v>14</v>
      </c>
      <c r="D60" s="52">
        <v>3.1686111111111113</v>
      </c>
      <c r="E60" s="47" t="s">
        <v>15</v>
      </c>
      <c r="F60" s="55"/>
      <c r="G60" s="55"/>
      <c r="H60" s="55"/>
      <c r="I60" s="57">
        <v>3.2124999999999999</v>
      </c>
      <c r="J60" s="57">
        <v>3.1466666666666665</v>
      </c>
      <c r="K60" s="57">
        <v>3.1466666666666665</v>
      </c>
    </row>
    <row r="61" spans="1:11" x14ac:dyDescent="0.25">
      <c r="A61" s="47" t="s">
        <v>50</v>
      </c>
      <c r="B61" s="53" t="s">
        <v>72</v>
      </c>
      <c r="C61" s="47" t="s">
        <v>52</v>
      </c>
      <c r="D61" s="60">
        <v>0.56000000000000005</v>
      </c>
      <c r="E61" s="47" t="s">
        <v>15</v>
      </c>
      <c r="F61" s="60"/>
      <c r="G61" s="60"/>
      <c r="H61" s="60"/>
      <c r="I61" s="60"/>
      <c r="J61" s="60"/>
      <c r="K61" s="60"/>
    </row>
    <row r="62" spans="1:11" x14ac:dyDescent="0.25">
      <c r="A62" s="47" t="s">
        <v>10</v>
      </c>
      <c r="B62" s="53" t="s">
        <v>73</v>
      </c>
      <c r="C62" s="47" t="s">
        <v>52</v>
      </c>
      <c r="D62" s="60">
        <v>0.41</v>
      </c>
      <c r="E62" s="47" t="s">
        <v>15</v>
      </c>
      <c r="F62" s="60"/>
      <c r="G62" s="60"/>
      <c r="H62" s="60"/>
      <c r="I62" s="60"/>
      <c r="J62" s="60"/>
      <c r="K62" s="60"/>
    </row>
    <row r="63" spans="1:11" x14ac:dyDescent="0.25">
      <c r="A63" s="47" t="s">
        <v>10</v>
      </c>
      <c r="B63" s="53" t="s">
        <v>68</v>
      </c>
      <c r="C63" s="47" t="s">
        <v>52</v>
      </c>
      <c r="D63" s="47" t="s">
        <v>45</v>
      </c>
      <c r="E63" s="47" t="s">
        <v>15</v>
      </c>
      <c r="F63" s="63">
        <v>0.26100000000000001</v>
      </c>
      <c r="G63" s="63"/>
      <c r="H63" s="63"/>
      <c r="I63" s="63">
        <v>0.52200000000000002</v>
      </c>
      <c r="J63" s="63"/>
      <c r="K63" s="63">
        <v>0.52200000000000002</v>
      </c>
    </row>
    <row r="65" spans="1:11" x14ac:dyDescent="0.25">
      <c r="A65" s="48" t="s">
        <v>79</v>
      </c>
      <c r="B65" s="47" t="s">
        <v>70</v>
      </c>
      <c r="C65" s="47"/>
      <c r="D65" s="47"/>
      <c r="E65" s="47"/>
      <c r="F65" s="47"/>
      <c r="G65" s="47"/>
      <c r="H65" s="47"/>
      <c r="I65" s="47"/>
      <c r="J65" s="47"/>
      <c r="K65" s="47"/>
    </row>
    <row r="66" spans="1:11" x14ac:dyDescent="0.25">
      <c r="A66" s="47" t="s">
        <v>10</v>
      </c>
      <c r="B66" s="47"/>
      <c r="C66" s="48" t="s">
        <v>7</v>
      </c>
      <c r="D66" s="48" t="s">
        <v>8</v>
      </c>
      <c r="E66" s="48"/>
      <c r="F66" s="48">
        <v>2000</v>
      </c>
      <c r="G66" s="48">
        <v>2365</v>
      </c>
      <c r="H66" s="48">
        <v>2730</v>
      </c>
      <c r="I66" s="48">
        <v>3095</v>
      </c>
      <c r="J66" s="48">
        <v>3460</v>
      </c>
      <c r="K66" s="48">
        <v>3825</v>
      </c>
    </row>
    <row r="67" spans="1:11" x14ac:dyDescent="0.25">
      <c r="A67" s="47" t="s">
        <v>11</v>
      </c>
      <c r="B67" s="47" t="s">
        <v>48</v>
      </c>
      <c r="C67" s="47" t="s">
        <v>9</v>
      </c>
      <c r="D67" s="47" t="s">
        <v>45</v>
      </c>
      <c r="E67" s="47" t="s">
        <v>15</v>
      </c>
      <c r="F67" s="59">
        <v>0.44344313238036048</v>
      </c>
      <c r="G67" s="59"/>
      <c r="H67" s="59"/>
      <c r="I67" s="59">
        <v>0.72399999999999998</v>
      </c>
      <c r="J67" s="59"/>
      <c r="K67" s="59">
        <v>0.72399999999999998</v>
      </c>
    </row>
    <row r="68" spans="1:11" x14ac:dyDescent="0.25">
      <c r="A68" s="47" t="s">
        <v>10</v>
      </c>
      <c r="B68" s="47" t="s">
        <v>12</v>
      </c>
      <c r="C68" s="47" t="s">
        <v>14</v>
      </c>
      <c r="D68" s="47" t="s">
        <v>45</v>
      </c>
      <c r="E68" s="47" t="s">
        <v>15</v>
      </c>
      <c r="F68" s="60">
        <v>100</v>
      </c>
      <c r="G68" s="60">
        <v>100</v>
      </c>
      <c r="H68" s="60">
        <v>100</v>
      </c>
      <c r="I68" s="60">
        <v>100</v>
      </c>
      <c r="J68" s="60">
        <v>100</v>
      </c>
      <c r="K68" s="60">
        <v>100</v>
      </c>
    </row>
    <row r="69" spans="1:11" x14ac:dyDescent="0.25">
      <c r="A69" s="47" t="s">
        <v>10</v>
      </c>
      <c r="B69" s="47" t="s">
        <v>71</v>
      </c>
      <c r="C69" s="47" t="s">
        <v>14</v>
      </c>
      <c r="D69" s="52">
        <v>3.1686111111111113</v>
      </c>
      <c r="E69" s="47" t="s">
        <v>15</v>
      </c>
      <c r="F69" s="55"/>
      <c r="G69" s="55"/>
      <c r="H69" s="55"/>
      <c r="I69" s="57">
        <v>3.2124999999999999</v>
      </c>
      <c r="J69" s="57">
        <v>3.1466666666666665</v>
      </c>
      <c r="K69" s="57">
        <v>3.1466666666666665</v>
      </c>
    </row>
    <row r="70" spans="1:11" x14ac:dyDescent="0.25">
      <c r="A70" s="47" t="s">
        <v>50</v>
      </c>
      <c r="B70" s="53" t="s">
        <v>72</v>
      </c>
      <c r="C70" s="47" t="s">
        <v>52</v>
      </c>
      <c r="D70" s="60">
        <v>0.56000000000000005</v>
      </c>
      <c r="E70" s="47" t="s">
        <v>15</v>
      </c>
      <c r="F70" s="60"/>
      <c r="G70" s="60"/>
      <c r="H70" s="60"/>
      <c r="I70" s="60"/>
      <c r="J70" s="60"/>
      <c r="K70" s="60"/>
    </row>
    <row r="71" spans="1:11" x14ac:dyDescent="0.25">
      <c r="A71" s="47" t="s">
        <v>10</v>
      </c>
      <c r="B71" s="53" t="s">
        <v>73</v>
      </c>
      <c r="C71" s="47" t="s">
        <v>52</v>
      </c>
      <c r="D71" s="60">
        <v>0.41</v>
      </c>
      <c r="E71" s="47" t="s">
        <v>15</v>
      </c>
      <c r="F71" s="60"/>
      <c r="G71" s="60"/>
      <c r="H71" s="60"/>
      <c r="I71" s="60"/>
      <c r="J71" s="60"/>
      <c r="K71" s="60"/>
    </row>
    <row r="72" spans="1:11" x14ac:dyDescent="0.25">
      <c r="A72" s="47" t="s">
        <v>10</v>
      </c>
      <c r="B72" s="53" t="s">
        <v>68</v>
      </c>
      <c r="C72" s="47" t="s">
        <v>52</v>
      </c>
      <c r="D72" s="47" t="s">
        <v>45</v>
      </c>
      <c r="E72" s="47" t="s">
        <v>15</v>
      </c>
      <c r="F72" s="63">
        <v>0.308</v>
      </c>
      <c r="G72" s="63"/>
      <c r="H72" s="63"/>
      <c r="I72" s="63">
        <v>0.47699999999999998</v>
      </c>
      <c r="J72" s="63"/>
      <c r="K72" s="63">
        <v>0.47699999999999998</v>
      </c>
    </row>
    <row r="74" spans="1:11" x14ac:dyDescent="0.25">
      <c r="A74" s="48" t="s">
        <v>80</v>
      </c>
      <c r="B74" s="47" t="s">
        <v>65</v>
      </c>
      <c r="C74" s="47"/>
      <c r="D74" s="47"/>
      <c r="E74" s="47"/>
      <c r="F74" s="47"/>
      <c r="G74" s="47"/>
      <c r="H74" s="47"/>
      <c r="I74" s="47"/>
      <c r="J74" s="47"/>
      <c r="K74" s="47"/>
    </row>
    <row r="75" spans="1:11" x14ac:dyDescent="0.25">
      <c r="A75" s="47" t="s">
        <v>10</v>
      </c>
      <c r="B75" s="47"/>
      <c r="C75" s="48" t="s">
        <v>7</v>
      </c>
      <c r="D75" s="48" t="s">
        <v>8</v>
      </c>
      <c r="E75" s="48"/>
      <c r="F75" s="48">
        <v>2000</v>
      </c>
      <c r="G75" s="48">
        <v>2365</v>
      </c>
      <c r="H75" s="48">
        <v>2730</v>
      </c>
      <c r="I75" s="48">
        <v>3095</v>
      </c>
      <c r="J75" s="48">
        <v>3460</v>
      </c>
      <c r="K75" s="48">
        <v>3825</v>
      </c>
    </row>
    <row r="76" spans="1:11" x14ac:dyDescent="0.25">
      <c r="A76" s="47" t="s">
        <v>11</v>
      </c>
      <c r="B76" s="47" t="s">
        <v>48</v>
      </c>
      <c r="C76" s="47" t="s">
        <v>9</v>
      </c>
      <c r="D76" s="47" t="s">
        <v>45</v>
      </c>
      <c r="E76" s="47" t="s">
        <v>15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0.38300000000000001</v>
      </c>
    </row>
    <row r="77" spans="1:11" x14ac:dyDescent="0.25">
      <c r="A77" s="47" t="s">
        <v>10</v>
      </c>
      <c r="B77" s="47" t="s">
        <v>12</v>
      </c>
      <c r="C77" s="47" t="s">
        <v>14</v>
      </c>
      <c r="D77" s="47" t="s">
        <v>45</v>
      </c>
      <c r="E77" s="47" t="s">
        <v>15</v>
      </c>
      <c r="F77" s="60">
        <v>100</v>
      </c>
      <c r="G77" s="60">
        <v>100</v>
      </c>
      <c r="H77" s="60">
        <v>100</v>
      </c>
      <c r="I77" s="60">
        <v>100</v>
      </c>
      <c r="J77" s="60">
        <v>100</v>
      </c>
      <c r="K77" s="60">
        <v>100</v>
      </c>
    </row>
    <row r="78" spans="1:11" x14ac:dyDescent="0.25">
      <c r="A78" s="47" t="s">
        <v>10</v>
      </c>
      <c r="B78" s="47" t="s">
        <v>71</v>
      </c>
      <c r="C78" s="47" t="s">
        <v>14</v>
      </c>
      <c r="D78" s="52">
        <v>1.31</v>
      </c>
      <c r="E78" s="47" t="s">
        <v>15</v>
      </c>
      <c r="F78" s="55"/>
      <c r="G78" s="55"/>
      <c r="H78" s="55"/>
      <c r="I78" s="55"/>
      <c r="J78" s="55"/>
      <c r="K78" s="55">
        <v>1.31</v>
      </c>
    </row>
    <row r="79" spans="1:11" x14ac:dyDescent="0.25">
      <c r="A79" s="47" t="s">
        <v>50</v>
      </c>
      <c r="B79" s="47" t="s">
        <v>66</v>
      </c>
      <c r="C79" s="47" t="s">
        <v>52</v>
      </c>
      <c r="D79" s="47">
        <v>0.9</v>
      </c>
      <c r="E79" s="47" t="s">
        <v>15</v>
      </c>
      <c r="F79" s="60"/>
      <c r="G79" s="60"/>
      <c r="H79" s="60"/>
      <c r="I79" s="60"/>
      <c r="J79" s="60"/>
      <c r="K79" s="60"/>
    </row>
    <row r="80" spans="1:11" x14ac:dyDescent="0.25">
      <c r="A80" s="47" t="s">
        <v>10</v>
      </c>
      <c r="B80" s="47" t="s">
        <v>67</v>
      </c>
      <c r="C80" s="47" t="s">
        <v>52</v>
      </c>
      <c r="D80" s="47">
        <v>0.9</v>
      </c>
      <c r="E80" s="47" t="s">
        <v>15</v>
      </c>
      <c r="F80" s="60"/>
      <c r="G80" s="60"/>
      <c r="H80" s="60"/>
      <c r="I80" s="60"/>
      <c r="J80" s="60"/>
      <c r="K80" s="60"/>
    </row>
    <row r="81" spans="1:11" x14ac:dyDescent="0.25">
      <c r="A81" s="47" t="s">
        <v>10</v>
      </c>
      <c r="B81" s="47" t="s">
        <v>68</v>
      </c>
      <c r="C81" s="47" t="s">
        <v>52</v>
      </c>
      <c r="D81" s="54">
        <v>1</v>
      </c>
      <c r="E81" s="47" t="s">
        <v>15</v>
      </c>
      <c r="F81" s="47"/>
      <c r="G81" s="47"/>
      <c r="H81" s="47"/>
      <c r="I81" s="47"/>
      <c r="J81" s="47"/>
      <c r="K81" s="47"/>
    </row>
    <row r="83" spans="1:11" x14ac:dyDescent="0.25">
      <c r="A83" s="48" t="s">
        <v>81</v>
      </c>
      <c r="B83" s="47" t="s">
        <v>65</v>
      </c>
      <c r="C83" s="47"/>
      <c r="D83" s="47"/>
      <c r="E83" s="47"/>
      <c r="F83" s="47"/>
      <c r="G83" s="47"/>
      <c r="H83" s="47"/>
      <c r="I83" s="47"/>
      <c r="J83" s="47"/>
      <c r="K83" s="47"/>
    </row>
    <row r="84" spans="1:11" x14ac:dyDescent="0.25">
      <c r="A84" s="47" t="s">
        <v>10</v>
      </c>
      <c r="B84" s="47"/>
      <c r="C84" s="48" t="s">
        <v>7</v>
      </c>
      <c r="D84" s="48" t="s">
        <v>8</v>
      </c>
      <c r="E84" s="48"/>
      <c r="F84" s="48">
        <v>2000</v>
      </c>
      <c r="G84" s="48">
        <v>2365</v>
      </c>
      <c r="H84" s="48">
        <v>2730</v>
      </c>
      <c r="I84" s="48">
        <v>3095</v>
      </c>
      <c r="J84" s="48">
        <v>3460</v>
      </c>
      <c r="K84" s="48">
        <v>3825</v>
      </c>
    </row>
    <row r="85" spans="1:11" x14ac:dyDescent="0.25">
      <c r="A85" s="47" t="s">
        <v>11</v>
      </c>
      <c r="B85" s="47" t="s">
        <v>48</v>
      </c>
      <c r="C85" s="47" t="s">
        <v>9</v>
      </c>
      <c r="D85" s="47" t="s">
        <v>45</v>
      </c>
      <c r="E85" s="47" t="s">
        <v>15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</row>
    <row r="86" spans="1:11" x14ac:dyDescent="0.25">
      <c r="A86" s="47" t="s">
        <v>10</v>
      </c>
      <c r="B86" s="47" t="s">
        <v>12</v>
      </c>
      <c r="C86" s="47" t="s">
        <v>14</v>
      </c>
      <c r="D86" s="47" t="s">
        <v>45</v>
      </c>
      <c r="E86" s="47" t="s">
        <v>15</v>
      </c>
      <c r="F86" s="60">
        <v>100</v>
      </c>
      <c r="G86" s="60">
        <v>100</v>
      </c>
      <c r="H86" s="60">
        <v>100</v>
      </c>
      <c r="I86" s="60">
        <v>100</v>
      </c>
      <c r="J86" s="60">
        <v>100</v>
      </c>
      <c r="K86" s="60">
        <v>100</v>
      </c>
    </row>
    <row r="87" spans="1:11" x14ac:dyDescent="0.25">
      <c r="A87" s="47" t="s">
        <v>10</v>
      </c>
      <c r="B87" s="47" t="s">
        <v>71</v>
      </c>
      <c r="C87" s="47" t="s">
        <v>14</v>
      </c>
      <c r="D87" s="51">
        <v>1.1000000000000001</v>
      </c>
      <c r="E87" s="47" t="s">
        <v>15</v>
      </c>
      <c r="F87" s="47"/>
      <c r="G87" s="47"/>
      <c r="H87" s="47"/>
      <c r="I87" s="47"/>
      <c r="J87" s="47"/>
      <c r="K87" s="47"/>
    </row>
    <row r="88" spans="1:11" x14ac:dyDescent="0.25">
      <c r="A88" s="47" t="s">
        <v>50</v>
      </c>
      <c r="B88" s="47" t="s">
        <v>66</v>
      </c>
      <c r="C88" s="47" t="s">
        <v>52</v>
      </c>
      <c r="D88" s="47">
        <v>0.9</v>
      </c>
      <c r="E88" s="47" t="s">
        <v>15</v>
      </c>
      <c r="F88" s="60"/>
      <c r="G88" s="60"/>
      <c r="H88" s="60"/>
      <c r="I88" s="60"/>
      <c r="J88" s="60"/>
      <c r="K88" s="60"/>
    </row>
    <row r="89" spans="1:11" x14ac:dyDescent="0.25">
      <c r="A89" s="47" t="s">
        <v>10</v>
      </c>
      <c r="B89" s="47" t="s">
        <v>67</v>
      </c>
      <c r="C89" s="47" t="s">
        <v>52</v>
      </c>
      <c r="D89" s="47">
        <v>0.9</v>
      </c>
      <c r="E89" s="47" t="s">
        <v>15</v>
      </c>
      <c r="F89" s="60"/>
      <c r="G89" s="60"/>
      <c r="H89" s="60"/>
      <c r="I89" s="60"/>
      <c r="J89" s="60"/>
      <c r="K89" s="60"/>
    </row>
    <row r="90" spans="1:11" x14ac:dyDescent="0.25">
      <c r="A90" s="47" t="s">
        <v>10</v>
      </c>
      <c r="B90" s="47" t="s">
        <v>68</v>
      </c>
      <c r="C90" s="47" t="s">
        <v>52</v>
      </c>
      <c r="D90" s="54">
        <v>1</v>
      </c>
      <c r="E90" s="47" t="s">
        <v>15</v>
      </c>
      <c r="F90" s="47"/>
      <c r="G90" s="47"/>
      <c r="H90" s="47"/>
      <c r="I90" s="47"/>
      <c r="J90" s="47"/>
      <c r="K90" s="47"/>
    </row>
    <row r="91" spans="1:1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</row>
    <row r="92" spans="1:11" x14ac:dyDescent="0.25">
      <c r="A92" s="48" t="s">
        <v>55</v>
      </c>
      <c r="B92" s="47" t="s">
        <v>56</v>
      </c>
      <c r="C92" s="47"/>
      <c r="D92" s="47"/>
      <c r="E92" s="47"/>
      <c r="F92" s="47"/>
      <c r="G92" s="47"/>
      <c r="H92" s="47"/>
      <c r="I92" s="47"/>
      <c r="J92" s="47"/>
      <c r="K92" s="47"/>
    </row>
    <row r="93" spans="1:11" x14ac:dyDescent="0.25">
      <c r="A93" s="47" t="s">
        <v>10</v>
      </c>
      <c r="B93" s="47"/>
      <c r="C93" s="48" t="s">
        <v>7</v>
      </c>
      <c r="D93" s="48" t="s">
        <v>8</v>
      </c>
      <c r="E93" s="48"/>
      <c r="F93" s="48">
        <v>2000</v>
      </c>
      <c r="G93" s="48">
        <v>2365</v>
      </c>
      <c r="H93" s="48">
        <v>2730</v>
      </c>
      <c r="I93" s="48">
        <v>3095</v>
      </c>
      <c r="J93" s="48">
        <v>3460</v>
      </c>
      <c r="K93" s="48">
        <v>3825</v>
      </c>
    </row>
    <row r="94" spans="1:11" x14ac:dyDescent="0.25">
      <c r="A94" s="47" t="s">
        <v>11</v>
      </c>
      <c r="B94" s="47" t="s">
        <v>48</v>
      </c>
      <c r="C94" s="64" t="s">
        <v>9</v>
      </c>
      <c r="D94" s="47" t="s">
        <v>45</v>
      </c>
      <c r="E94" s="47" t="s">
        <v>15</v>
      </c>
      <c r="F94" s="54"/>
      <c r="G94" s="54"/>
      <c r="H94" s="54"/>
      <c r="I94" s="54">
        <v>0.99</v>
      </c>
      <c r="J94" s="54"/>
      <c r="K94" s="54">
        <v>0.99</v>
      </c>
    </row>
    <row r="95" spans="1:11" x14ac:dyDescent="0.25">
      <c r="A95" s="47" t="s">
        <v>10</v>
      </c>
      <c r="B95" s="47" t="s">
        <v>12</v>
      </c>
      <c r="C95" s="47" t="s">
        <v>14</v>
      </c>
      <c r="D95" s="47" t="s">
        <v>45</v>
      </c>
      <c r="E95" s="47" t="s">
        <v>15</v>
      </c>
      <c r="F95" s="60">
        <v>100</v>
      </c>
      <c r="G95" s="60">
        <v>100</v>
      </c>
      <c r="H95" s="60">
        <v>100</v>
      </c>
      <c r="I95" s="60">
        <v>100</v>
      </c>
      <c r="J95" s="60">
        <v>100</v>
      </c>
      <c r="K95" s="60">
        <v>100</v>
      </c>
    </row>
    <row r="96" spans="1:11" x14ac:dyDescent="0.25">
      <c r="A96" s="47" t="s">
        <v>10</v>
      </c>
      <c r="B96" s="47" t="s">
        <v>49</v>
      </c>
      <c r="C96" s="47" t="s">
        <v>14</v>
      </c>
      <c r="D96" s="52">
        <v>0.04</v>
      </c>
      <c r="E96" s="47" t="s">
        <v>15</v>
      </c>
      <c r="F96" s="55"/>
      <c r="G96" s="55"/>
      <c r="H96" s="55"/>
      <c r="I96" s="61">
        <v>0.04</v>
      </c>
      <c r="J96" s="55"/>
      <c r="K96" s="61">
        <v>0.04</v>
      </c>
    </row>
    <row r="97" spans="1:11" x14ac:dyDescent="0.25">
      <c r="A97" s="47" t="s">
        <v>50</v>
      </c>
      <c r="B97" s="47" t="s">
        <v>57</v>
      </c>
      <c r="C97" s="47" t="s">
        <v>52</v>
      </c>
      <c r="D97" s="47" t="s">
        <v>45</v>
      </c>
      <c r="E97" s="47" t="s">
        <v>15</v>
      </c>
      <c r="F97" s="47">
        <v>0.2</v>
      </c>
      <c r="G97" s="47">
        <v>0.2</v>
      </c>
      <c r="H97" s="47">
        <v>0.2</v>
      </c>
      <c r="I97" s="47">
        <v>0.2</v>
      </c>
      <c r="J97" s="47">
        <v>0.2</v>
      </c>
      <c r="K97" s="47">
        <v>0.2</v>
      </c>
    </row>
    <row r="98" spans="1:11" x14ac:dyDescent="0.25">
      <c r="A98" s="47" t="s">
        <v>10</v>
      </c>
      <c r="B98" s="47" t="s">
        <v>58</v>
      </c>
      <c r="C98" s="47" t="s">
        <v>52</v>
      </c>
      <c r="D98" s="47" t="s">
        <v>91</v>
      </c>
      <c r="E98" s="47" t="s">
        <v>15</v>
      </c>
      <c r="F98" s="47"/>
      <c r="G98" s="47"/>
      <c r="H98" s="47"/>
      <c r="I98" s="47"/>
      <c r="J98" s="47"/>
      <c r="K98" s="47"/>
    </row>
    <row r="99" spans="1:11" x14ac:dyDescent="0.25">
      <c r="A99" s="47" t="s">
        <v>10</v>
      </c>
      <c r="B99" s="47" t="s">
        <v>59</v>
      </c>
      <c r="C99" s="47" t="s">
        <v>52</v>
      </c>
      <c r="D99" s="47" t="s">
        <v>45</v>
      </c>
      <c r="E99" s="47" t="s">
        <v>15</v>
      </c>
      <c r="F99" s="47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</row>
    <row r="100" spans="1:11" x14ac:dyDescent="0.25">
      <c r="A100" s="47" t="s">
        <v>10</v>
      </c>
      <c r="B100" s="47" t="s">
        <v>60</v>
      </c>
      <c r="C100" s="47" t="s">
        <v>52</v>
      </c>
      <c r="D100" s="47" t="s">
        <v>61</v>
      </c>
      <c r="E100" s="47" t="s">
        <v>15</v>
      </c>
      <c r="F100" s="47"/>
      <c r="G100" s="47"/>
      <c r="H100" s="47"/>
      <c r="I100" s="47"/>
      <c r="J100" s="47"/>
      <c r="K100" s="47"/>
    </row>
    <row r="102" spans="1:11" x14ac:dyDescent="0.25">
      <c r="A102" s="48" t="s">
        <v>62</v>
      </c>
      <c r="B102" s="47" t="s">
        <v>56</v>
      </c>
      <c r="C102" s="47"/>
      <c r="D102" s="47"/>
      <c r="E102" s="47"/>
      <c r="F102" s="47"/>
      <c r="G102" s="47"/>
      <c r="H102" s="47"/>
      <c r="I102" s="47"/>
      <c r="J102" s="47"/>
      <c r="K102" s="47"/>
    </row>
    <row r="103" spans="1:11" x14ac:dyDescent="0.25">
      <c r="A103" s="47" t="s">
        <v>10</v>
      </c>
      <c r="B103" s="47"/>
      <c r="C103" s="48" t="s">
        <v>7</v>
      </c>
      <c r="D103" s="48" t="s">
        <v>8</v>
      </c>
      <c r="E103" s="48"/>
      <c r="F103" s="48">
        <v>2000</v>
      </c>
      <c r="G103" s="48">
        <v>2365</v>
      </c>
      <c r="H103" s="48">
        <v>2730</v>
      </c>
      <c r="I103" s="48">
        <v>3095</v>
      </c>
      <c r="J103" s="48">
        <v>3460</v>
      </c>
      <c r="K103" s="48">
        <v>3825</v>
      </c>
    </row>
    <row r="104" spans="1:11" x14ac:dyDescent="0.25">
      <c r="A104" s="47" t="s">
        <v>11</v>
      </c>
      <c r="B104" s="47" t="s">
        <v>48</v>
      </c>
      <c r="C104" s="64" t="s">
        <v>9</v>
      </c>
      <c r="D104" s="47" t="s">
        <v>45</v>
      </c>
      <c r="E104" s="47" t="s">
        <v>15</v>
      </c>
      <c r="F104" s="54"/>
      <c r="G104" s="54"/>
      <c r="H104" s="54"/>
      <c r="I104" s="54"/>
      <c r="J104" s="54"/>
      <c r="K104" s="54">
        <v>0.99</v>
      </c>
    </row>
    <row r="105" spans="1:11" x14ac:dyDescent="0.25">
      <c r="A105" s="47" t="s">
        <v>10</v>
      </c>
      <c r="B105" s="47" t="s">
        <v>12</v>
      </c>
      <c r="C105" s="47" t="s">
        <v>14</v>
      </c>
      <c r="D105" s="47" t="s">
        <v>45</v>
      </c>
      <c r="E105" s="47" t="s">
        <v>15</v>
      </c>
      <c r="F105" s="60">
        <v>100</v>
      </c>
      <c r="G105" s="60">
        <v>100</v>
      </c>
      <c r="H105" s="60">
        <v>100</v>
      </c>
      <c r="I105" s="60">
        <v>100</v>
      </c>
      <c r="J105" s="60">
        <v>100</v>
      </c>
      <c r="K105" s="60">
        <v>100</v>
      </c>
    </row>
    <row r="106" spans="1:11" x14ac:dyDescent="0.25">
      <c r="A106" s="47" t="s">
        <v>10</v>
      </c>
      <c r="B106" s="47" t="s">
        <v>49</v>
      </c>
      <c r="C106" s="47" t="s">
        <v>14</v>
      </c>
      <c r="D106" s="52">
        <v>0.04</v>
      </c>
      <c r="E106" s="47" t="s">
        <v>15</v>
      </c>
      <c r="F106" s="55"/>
      <c r="G106" s="55"/>
      <c r="H106" s="55"/>
      <c r="I106" s="55"/>
      <c r="J106" s="55"/>
      <c r="K106" s="61">
        <v>0.04</v>
      </c>
    </row>
    <row r="107" spans="1:11" x14ac:dyDescent="0.25">
      <c r="A107" s="47" t="s">
        <v>50</v>
      </c>
      <c r="B107" s="47" t="s">
        <v>57</v>
      </c>
      <c r="C107" s="47" t="s">
        <v>52</v>
      </c>
      <c r="D107" s="47" t="s">
        <v>45</v>
      </c>
      <c r="E107" s="47" t="s">
        <v>15</v>
      </c>
      <c r="F107" s="47">
        <v>0.2</v>
      </c>
      <c r="G107" s="47">
        <v>0.2</v>
      </c>
      <c r="H107" s="47">
        <v>0.2</v>
      </c>
      <c r="I107" s="47">
        <v>0.2</v>
      </c>
      <c r="J107" s="47">
        <v>0.2</v>
      </c>
      <c r="K107" s="47">
        <v>0.2</v>
      </c>
    </row>
    <row r="108" spans="1:11" x14ac:dyDescent="0.25">
      <c r="A108" s="47" t="s">
        <v>10</v>
      </c>
      <c r="B108" s="47" t="s">
        <v>58</v>
      </c>
      <c r="C108" s="47" t="s">
        <v>52</v>
      </c>
      <c r="D108" s="47" t="s">
        <v>92</v>
      </c>
      <c r="E108" s="47" t="s">
        <v>15</v>
      </c>
      <c r="F108" s="47"/>
      <c r="G108" s="47"/>
      <c r="H108" s="47"/>
      <c r="I108" s="47"/>
      <c r="J108" s="47"/>
      <c r="K108" s="47"/>
    </row>
    <row r="109" spans="1:11" x14ac:dyDescent="0.25">
      <c r="A109" s="47" t="s">
        <v>10</v>
      </c>
      <c r="B109" s="47" t="s">
        <v>59</v>
      </c>
      <c r="C109" s="47" t="s">
        <v>52</v>
      </c>
      <c r="D109" s="47" t="s">
        <v>45</v>
      </c>
      <c r="E109" s="47" t="s">
        <v>15</v>
      </c>
      <c r="F109" s="47">
        <v>0.3</v>
      </c>
      <c r="G109" s="47">
        <v>0.3</v>
      </c>
      <c r="H109" s="47">
        <v>0.3</v>
      </c>
      <c r="I109" s="47">
        <v>0.3</v>
      </c>
      <c r="J109" s="47">
        <v>0.3</v>
      </c>
      <c r="K109" s="47">
        <v>0.3</v>
      </c>
    </row>
    <row r="110" spans="1:11" x14ac:dyDescent="0.25">
      <c r="A110" s="47" t="s">
        <v>10</v>
      </c>
      <c r="B110" s="47" t="s">
        <v>60</v>
      </c>
      <c r="C110" s="47" t="s">
        <v>52</v>
      </c>
      <c r="D110" s="47" t="s">
        <v>61</v>
      </c>
      <c r="E110" s="47" t="s">
        <v>15</v>
      </c>
      <c r="F110" s="47"/>
      <c r="G110" s="47"/>
      <c r="H110" s="47"/>
      <c r="I110" s="47"/>
      <c r="J110" s="47"/>
      <c r="K110" s="47"/>
    </row>
    <row r="112" spans="1:11" x14ac:dyDescent="0.25">
      <c r="A112" s="48" t="s">
        <v>63</v>
      </c>
      <c r="B112" s="47" t="s">
        <v>56</v>
      </c>
      <c r="C112" s="47"/>
      <c r="D112" s="47"/>
      <c r="E112" s="47"/>
      <c r="F112" s="47"/>
      <c r="G112" s="47"/>
      <c r="H112" s="47"/>
      <c r="I112" s="47"/>
      <c r="J112" s="47"/>
      <c r="K112" s="47"/>
    </row>
    <row r="113" spans="1:11" x14ac:dyDescent="0.25">
      <c r="A113" s="47" t="s">
        <v>10</v>
      </c>
      <c r="B113" s="47"/>
      <c r="C113" s="48" t="s">
        <v>7</v>
      </c>
      <c r="D113" s="48" t="s">
        <v>8</v>
      </c>
      <c r="E113" s="48"/>
      <c r="F113" s="48">
        <v>2000</v>
      </c>
      <c r="G113" s="48">
        <v>2365</v>
      </c>
      <c r="H113" s="48">
        <v>2730</v>
      </c>
      <c r="I113" s="48">
        <v>3095</v>
      </c>
      <c r="J113" s="48">
        <v>3460</v>
      </c>
      <c r="K113" s="48">
        <v>3825</v>
      </c>
    </row>
    <row r="114" spans="1:11" x14ac:dyDescent="0.25">
      <c r="A114" s="47" t="s">
        <v>11</v>
      </c>
      <c r="B114" s="47" t="s">
        <v>48</v>
      </c>
      <c r="C114" s="47" t="s">
        <v>9</v>
      </c>
      <c r="D114" s="47" t="s">
        <v>45</v>
      </c>
      <c r="E114" s="47" t="s">
        <v>15</v>
      </c>
      <c r="F114" s="54"/>
      <c r="G114" s="54"/>
      <c r="H114" s="54"/>
      <c r="I114" s="54"/>
      <c r="J114" s="54"/>
      <c r="K114" s="54">
        <v>0.99</v>
      </c>
    </row>
    <row r="115" spans="1:11" x14ac:dyDescent="0.25">
      <c r="A115" s="47" t="s">
        <v>10</v>
      </c>
      <c r="B115" s="47" t="s">
        <v>12</v>
      </c>
      <c r="C115" s="47" t="s">
        <v>14</v>
      </c>
      <c r="D115" s="47" t="s">
        <v>45</v>
      </c>
      <c r="E115" s="47" t="s">
        <v>15</v>
      </c>
      <c r="F115" s="60">
        <v>100</v>
      </c>
      <c r="G115" s="60">
        <v>100</v>
      </c>
      <c r="H115" s="60">
        <v>100</v>
      </c>
      <c r="I115" s="60">
        <v>100</v>
      </c>
      <c r="J115" s="60">
        <v>100</v>
      </c>
      <c r="K115" s="60">
        <v>100</v>
      </c>
    </row>
    <row r="116" spans="1:11" x14ac:dyDescent="0.25">
      <c r="A116" s="47" t="s">
        <v>10</v>
      </c>
      <c r="B116" s="47" t="s">
        <v>49</v>
      </c>
      <c r="C116" s="47" t="s">
        <v>14</v>
      </c>
      <c r="D116" s="52">
        <v>0.04</v>
      </c>
      <c r="E116" s="47" t="s">
        <v>15</v>
      </c>
      <c r="F116" s="55"/>
      <c r="G116" s="55"/>
      <c r="H116" s="55"/>
      <c r="I116" s="55"/>
      <c r="J116" s="55"/>
      <c r="K116" s="61">
        <v>0.04</v>
      </c>
    </row>
    <row r="117" spans="1:11" x14ac:dyDescent="0.25">
      <c r="A117" s="47" t="s">
        <v>50</v>
      </c>
      <c r="B117" s="47" t="s">
        <v>57</v>
      </c>
      <c r="C117" s="47" t="s">
        <v>52</v>
      </c>
      <c r="D117" s="47" t="s">
        <v>45</v>
      </c>
      <c r="E117" s="47" t="s">
        <v>15</v>
      </c>
      <c r="F117" s="47">
        <v>0.2</v>
      </c>
      <c r="G117" s="47">
        <v>0.2</v>
      </c>
      <c r="H117" s="47">
        <v>0.2</v>
      </c>
      <c r="I117" s="47">
        <v>0.2</v>
      </c>
      <c r="J117" s="47">
        <v>0.2</v>
      </c>
      <c r="K117" s="47">
        <v>0.2</v>
      </c>
    </row>
    <row r="118" spans="1:11" x14ac:dyDescent="0.25">
      <c r="A118" s="47" t="s">
        <v>10</v>
      </c>
      <c r="B118" s="47" t="s">
        <v>58</v>
      </c>
      <c r="C118" s="47" t="s">
        <v>52</v>
      </c>
      <c r="D118" s="47" t="s">
        <v>93</v>
      </c>
      <c r="E118" s="47" t="s">
        <v>15</v>
      </c>
      <c r="F118" s="47"/>
      <c r="G118" s="47"/>
      <c r="H118" s="47"/>
      <c r="I118" s="47"/>
      <c r="J118" s="47"/>
      <c r="K118" s="47"/>
    </row>
    <row r="119" spans="1:11" x14ac:dyDescent="0.25">
      <c r="A119" s="47" t="s">
        <v>10</v>
      </c>
      <c r="B119" s="47" t="s">
        <v>59</v>
      </c>
      <c r="C119" s="47" t="s">
        <v>52</v>
      </c>
      <c r="D119" s="47" t="s">
        <v>45</v>
      </c>
      <c r="E119" s="47" t="s">
        <v>15</v>
      </c>
      <c r="F119" s="47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</row>
    <row r="120" spans="1:11" x14ac:dyDescent="0.25">
      <c r="A120" s="47" t="s">
        <v>10</v>
      </c>
      <c r="B120" s="47" t="s">
        <v>60</v>
      </c>
      <c r="C120" s="47" t="s">
        <v>52</v>
      </c>
      <c r="D120" s="47" t="s">
        <v>61</v>
      </c>
      <c r="E120" s="47" t="s">
        <v>15</v>
      </c>
      <c r="F120" s="47"/>
      <c r="G120" s="47"/>
      <c r="H120" s="47"/>
      <c r="I120" s="47"/>
      <c r="J120" s="47"/>
      <c r="K120" s="47"/>
    </row>
  </sheetData>
  <dataValidations count="5">
    <dataValidation type="list" showInputMessage="1" showErrorMessage="1" sqref="C3 C9">
      <formula1>"Number,Fraction"</formula1>
    </dataValidation>
    <dataValidation type="list" showInputMessage="1" showErrorMessage="1" sqref="C4:C5 C10:C11">
      <formula1>"USD"</formula1>
    </dataValidation>
    <dataValidation type="list" showInputMessage="1" showErrorMessage="1" sqref="C12">
      <formula1>"Unique"</formula1>
    </dataValidation>
    <dataValidation type="list" showInputMessage="1" showErrorMessage="1" sqref="B1 B7">
      <formula1>"Fixed Cost Program,Treatment Program,Contact Control Program,Indoor Residual Spraying"</formula1>
    </dataValidation>
    <dataValidation type="list" showInputMessage="1" showErrorMessage="1" sqref="F5:K5 F11:K11">
      <formula1>"..."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sqref="A1:XFD5"/>
    </sheetView>
  </sheetViews>
  <sheetFormatPr defaultRowHeight="15" x14ac:dyDescent="0.25"/>
  <cols>
    <col min="1" max="1" width="60.7109375" customWidth="1"/>
    <col min="2" max="3" width="10.7109375" customWidth="1"/>
    <col min="5" max="10" width="9.5703125" bestFit="1" customWidth="1"/>
  </cols>
  <sheetData>
    <row r="1" spans="1:10" s="30" customFormat="1" x14ac:dyDescent="0.25">
      <c r="A1" s="30" t="s">
        <v>33</v>
      </c>
      <c r="B1" s="30" t="s">
        <v>7</v>
      </c>
      <c r="C1" s="30" t="s">
        <v>8</v>
      </c>
      <c r="E1" s="30">
        <v>2000</v>
      </c>
      <c r="F1" s="30">
        <v>2365</v>
      </c>
      <c r="G1" s="30">
        <v>2730</v>
      </c>
      <c r="H1" s="30">
        <v>3095</v>
      </c>
      <c r="I1" s="30">
        <v>3460</v>
      </c>
      <c r="J1" s="30">
        <v>3825</v>
      </c>
    </row>
    <row r="2" spans="1:10" x14ac:dyDescent="0.25">
      <c r="A2" t="str">
        <f>'Population Definitions'!$A$2</f>
        <v>General Population</v>
      </c>
      <c r="B2" t="s">
        <v>9</v>
      </c>
      <c r="C2">
        <f>IF(SUMPRODUCT(--(E2:T2&lt;&gt;""))=0,0.03,"N.A.")</f>
        <v>0.03</v>
      </c>
      <c r="D2" t="s">
        <v>15</v>
      </c>
    </row>
    <row r="3" spans="1:10" x14ac:dyDescent="0.25">
      <c r="A3" t="str">
        <f>'Population Definitions'!$A$3</f>
        <v>Pregnant Women</v>
      </c>
      <c r="B3" t="s">
        <v>9</v>
      </c>
      <c r="C3" s="37">
        <f t="shared" ref="C3:C4" si="0">IF(SUMPRODUCT(--(E3:T3&lt;&gt;""))=0,0.03,"N.A.")</f>
        <v>0.03</v>
      </c>
      <c r="D3" t="s">
        <v>15</v>
      </c>
    </row>
    <row r="4" spans="1:10" x14ac:dyDescent="0.25">
      <c r="A4" t="str">
        <f>'Population Definitions'!$A$4</f>
        <v>Children 0-5</v>
      </c>
      <c r="B4" t="s">
        <v>9</v>
      </c>
      <c r="C4" s="37">
        <f t="shared" si="0"/>
        <v>0.03</v>
      </c>
      <c r="D4" t="s">
        <v>15</v>
      </c>
    </row>
    <row r="6" spans="1:10" s="30" customFormat="1" x14ac:dyDescent="0.25">
      <c r="A6" s="30" t="s">
        <v>34</v>
      </c>
      <c r="B6" s="30" t="s">
        <v>7</v>
      </c>
      <c r="C6" s="30" t="s">
        <v>8</v>
      </c>
      <c r="E6" s="30">
        <v>2000</v>
      </c>
      <c r="F6" s="30">
        <v>2365</v>
      </c>
      <c r="G6" s="30">
        <v>2730</v>
      </c>
      <c r="H6" s="30">
        <v>3095</v>
      </c>
      <c r="I6" s="30">
        <v>3460</v>
      </c>
      <c r="J6" s="30">
        <v>3825</v>
      </c>
    </row>
    <row r="7" spans="1:10" x14ac:dyDescent="0.25">
      <c r="A7" t="str">
        <f>'Population Definitions'!$A$2</f>
        <v>General Population</v>
      </c>
      <c r="B7" t="s">
        <v>9</v>
      </c>
      <c r="C7" s="39">
        <f>IF(SUMPRODUCT(--(E7:T7&lt;&gt;""))=0,0,"N.A.")</f>
        <v>0</v>
      </c>
      <c r="D7" t="s">
        <v>15</v>
      </c>
    </row>
    <row r="8" spans="1:10" x14ac:dyDescent="0.25">
      <c r="A8" t="str">
        <f>'Population Definitions'!$A$3</f>
        <v>Pregnant Women</v>
      </c>
      <c r="B8" t="s">
        <v>9</v>
      </c>
      <c r="C8" s="39">
        <f>IF(SUMPRODUCT(--(E8:T8&lt;&gt;""))=0,0,"N.A.")</f>
        <v>0</v>
      </c>
      <c r="D8" t="s">
        <v>15</v>
      </c>
    </row>
    <row r="9" spans="1:10" x14ac:dyDescent="0.25">
      <c r="A9" t="str">
        <f>'Population Definitions'!$A$4</f>
        <v>Children 0-5</v>
      </c>
      <c r="B9" t="s">
        <v>9</v>
      </c>
      <c r="C9" s="39">
        <f>IF(SUMPRODUCT(--(E9:T9&lt;&gt;""))=0,0,"N.A.")</f>
        <v>0</v>
      </c>
      <c r="D9" t="s">
        <v>15</v>
      </c>
    </row>
    <row r="11" spans="1:10" s="30" customFormat="1" x14ac:dyDescent="0.25">
      <c r="A11" s="30" t="s">
        <v>35</v>
      </c>
      <c r="B11" s="30" t="s">
        <v>7</v>
      </c>
      <c r="C11" s="30" t="s">
        <v>8</v>
      </c>
      <c r="E11" s="30">
        <v>2000</v>
      </c>
      <c r="F11" s="30">
        <v>2365</v>
      </c>
      <c r="G11" s="30">
        <v>2730</v>
      </c>
      <c r="H11" s="30">
        <v>3095</v>
      </c>
      <c r="I11" s="30">
        <v>3460</v>
      </c>
      <c r="J11" s="30">
        <v>3825</v>
      </c>
    </row>
    <row r="12" spans="1:10" x14ac:dyDescent="0.25">
      <c r="A12" t="str">
        <f>'Population Definitions'!$A$2</f>
        <v>General Population</v>
      </c>
      <c r="B12" t="s">
        <v>9</v>
      </c>
      <c r="C12">
        <f>IF(SUMPRODUCT(--(E12:T12&lt;&gt;""))=0,1-(1-0.005295)^(1/365),"N.A.")</f>
        <v>1.4545286531886248E-5</v>
      </c>
      <c r="D12" t="s">
        <v>15</v>
      </c>
      <c r="E12" s="32"/>
      <c r="F12" s="32"/>
      <c r="G12" s="32"/>
      <c r="H12" s="32"/>
      <c r="I12" s="32"/>
      <c r="J12" s="32"/>
    </row>
    <row r="13" spans="1:10" x14ac:dyDescent="0.25">
      <c r="A13" t="str">
        <f>'Population Definitions'!$A$3</f>
        <v>Pregnant Women</v>
      </c>
      <c r="B13" t="s">
        <v>9</v>
      </c>
      <c r="C13">
        <f>IF(SUMPRODUCT(--(E13:T13&lt;&gt;""))=0,1-(1-0.01165)^(1/365),"N.A.")</f>
        <v>3.2104670809940394E-5</v>
      </c>
      <c r="D13" t="s">
        <v>15</v>
      </c>
      <c r="E13" s="32"/>
      <c r="F13" s="32"/>
      <c r="G13" s="32"/>
      <c r="H13" s="32"/>
      <c r="I13" s="32"/>
      <c r="J13" s="32"/>
    </row>
    <row r="14" spans="1:10" x14ac:dyDescent="0.25">
      <c r="A14" t="str">
        <f>'Population Definitions'!$A$4</f>
        <v>Children 0-5</v>
      </c>
      <c r="B14" t="s">
        <v>9</v>
      </c>
      <c r="C14">
        <f>IF(SUMPRODUCT(--(E14:T14&lt;&gt;""))=0,1-(1-0.165)^(1/365),"N.A.")</f>
        <v>4.9391511835539248E-4</v>
      </c>
      <c r="D14" t="s">
        <v>15</v>
      </c>
      <c r="E14" s="32"/>
      <c r="F14" s="32"/>
      <c r="G14" s="32"/>
      <c r="H14" s="32"/>
      <c r="I14" s="32"/>
      <c r="J14" s="32"/>
    </row>
    <row r="16" spans="1:10" s="30" customFormat="1" x14ac:dyDescent="0.25">
      <c r="A16" s="30" t="s">
        <v>36</v>
      </c>
      <c r="B16" s="30" t="s">
        <v>7</v>
      </c>
      <c r="C16" s="30" t="s">
        <v>8</v>
      </c>
      <c r="E16" s="30">
        <v>2000</v>
      </c>
      <c r="F16" s="30">
        <v>2365</v>
      </c>
      <c r="G16" s="30">
        <v>2730</v>
      </c>
      <c r="H16" s="30">
        <v>3095</v>
      </c>
      <c r="I16" s="30">
        <v>3460</v>
      </c>
      <c r="J16" s="30">
        <v>3825</v>
      </c>
    </row>
    <row r="17" spans="1:14" x14ac:dyDescent="0.25">
      <c r="A17" t="str">
        <f>'Population Definitions'!$A$2</f>
        <v>General Population</v>
      </c>
      <c r="B17" t="s">
        <v>9</v>
      </c>
      <c r="C17" s="42">
        <v>6.2285885171518701E-3</v>
      </c>
      <c r="D17" t="s">
        <v>15</v>
      </c>
      <c r="E17" s="33"/>
      <c r="F17" s="33"/>
      <c r="G17" s="33"/>
      <c r="H17" s="33"/>
      <c r="I17" s="33"/>
      <c r="J17" s="33"/>
    </row>
    <row r="18" spans="1:14" x14ac:dyDescent="0.25">
      <c r="A18" t="str">
        <f>'Population Definitions'!$A$3</f>
        <v>Pregnant Women</v>
      </c>
      <c r="B18" t="s">
        <v>9</v>
      </c>
      <c r="C18" s="42">
        <v>2.4811056979505402E-3</v>
      </c>
      <c r="D18" t="s">
        <v>15</v>
      </c>
      <c r="E18" s="33"/>
      <c r="F18" s="33"/>
      <c r="G18" s="33"/>
      <c r="H18" s="33"/>
      <c r="I18" s="33"/>
      <c r="J18" s="33"/>
    </row>
    <row r="19" spans="1:14" x14ac:dyDescent="0.25">
      <c r="A19" t="str">
        <f>'Population Definitions'!$A$4</f>
        <v>Children 0-5</v>
      </c>
      <c r="B19" t="s">
        <v>9</v>
      </c>
      <c r="C19" s="42">
        <v>5.6368602540784803E-2</v>
      </c>
      <c r="D19" t="s">
        <v>15</v>
      </c>
      <c r="E19" s="33"/>
      <c r="F19" s="33"/>
      <c r="G19" s="33"/>
      <c r="H19" s="33"/>
      <c r="I19" s="33"/>
      <c r="J19" s="33"/>
    </row>
    <row r="21" spans="1:14" x14ac:dyDescent="0.25">
      <c r="A21" s="38" t="s">
        <v>44</v>
      </c>
      <c r="B21" s="38" t="s">
        <v>7</v>
      </c>
      <c r="C21" s="38" t="s">
        <v>8</v>
      </c>
      <c r="D21" s="37"/>
      <c r="E21" s="38">
        <v>2000</v>
      </c>
      <c r="F21" s="38">
        <v>2365</v>
      </c>
      <c r="G21" s="38">
        <v>2730</v>
      </c>
      <c r="H21" s="38">
        <v>3095</v>
      </c>
      <c r="I21" s="38">
        <v>3460</v>
      </c>
      <c r="J21" s="38">
        <v>3825</v>
      </c>
    </row>
    <row r="22" spans="1:14" x14ac:dyDescent="0.25">
      <c r="A22" s="37" t="str">
        <f>'Population Definitions'!$A$2</f>
        <v>General Population</v>
      </c>
      <c r="B22" s="37" t="s">
        <v>13</v>
      </c>
      <c r="C22" s="36" t="str">
        <f>IF(SUMPRODUCT(--(E22:T22&lt;&gt;""))=0,C12/4,"N.A.")</f>
        <v>N.A.</v>
      </c>
      <c r="D22" s="37" t="s">
        <v>15</v>
      </c>
      <c r="E22" s="31">
        <f>444028.512898878</f>
        <v>444028.51289887802</v>
      </c>
      <c r="F22" s="31">
        <f>510069.235389158</f>
        <v>510069.23538915801</v>
      </c>
      <c r="G22" s="31">
        <f>562897.024486538</f>
        <v>562897.02448653802</v>
      </c>
      <c r="H22" s="31">
        <f>511455.785444692</f>
        <v>511455.78544469201</v>
      </c>
      <c r="I22" s="31">
        <f>477512.664070678</f>
        <v>477512.664070678</v>
      </c>
      <c r="J22" s="31">
        <f>362432.525567375</f>
        <v>362432.52556737501</v>
      </c>
      <c r="L22" s="36"/>
    </row>
    <row r="23" spans="1:14" x14ac:dyDescent="0.25">
      <c r="A23" s="37" t="str">
        <f>'Population Definitions'!$A$3</f>
        <v>Pregnant Women</v>
      </c>
      <c r="B23" s="37" t="s">
        <v>13</v>
      </c>
      <c r="C23" s="36" t="str">
        <f>IF(SUMPRODUCT(--(E23:T23&lt;&gt;""))=0,C13/4,"N.A.")</f>
        <v>N.A.</v>
      </c>
      <c r="D23" s="37" t="s">
        <v>15</v>
      </c>
      <c r="E23" s="31">
        <f>39810.9079311173</f>
        <v>39810.907931117297</v>
      </c>
      <c r="F23" s="31">
        <f>39427.4243148512</f>
        <v>39427.424314851203</v>
      </c>
      <c r="G23" s="31">
        <f>37709.3922197304</f>
        <v>37709.392219730398</v>
      </c>
      <c r="H23" s="31">
        <f>33587.6639693231</f>
        <v>33587.663969323097</v>
      </c>
      <c r="I23" s="31">
        <f>30549.2761213177</f>
        <v>30549.2761213177</v>
      </c>
      <c r="J23" s="31">
        <f>26547.5690686254</f>
        <v>26547.569068625398</v>
      </c>
      <c r="L23" s="36"/>
      <c r="N23" s="37"/>
    </row>
    <row r="24" spans="1:14" x14ac:dyDescent="0.25">
      <c r="A24" s="37" t="str">
        <f>'Population Definitions'!$A$4</f>
        <v>Children 0-5</v>
      </c>
      <c r="B24" s="37" t="s">
        <v>13</v>
      </c>
      <c r="C24" s="36" t="str">
        <f>IF(SUMPRODUCT(--(E24:T24&lt;&gt;""))=0,C14/4,"N.A.")</f>
        <v>N.A.</v>
      </c>
      <c r="D24" s="37" t="s">
        <v>15</v>
      </c>
      <c r="E24" s="31">
        <f>600847.439170005</f>
        <v>600847.43917000503</v>
      </c>
      <c r="F24" s="31">
        <f>534852.296295991</f>
        <v>534852.29629599105</v>
      </c>
      <c r="G24" s="31">
        <f>459454.103293731</f>
        <v>459454.10329373099</v>
      </c>
      <c r="H24" s="31">
        <f>438277.111985984</f>
        <v>438277.11198598403</v>
      </c>
      <c r="I24" s="31">
        <f>414415.873408004</f>
        <v>414415.873408004</v>
      </c>
      <c r="J24" s="31">
        <f>369367.712064</f>
        <v>369367.71206400002</v>
      </c>
      <c r="L24" s="36"/>
      <c r="N24" s="37"/>
    </row>
    <row r="26" spans="1:14" x14ac:dyDescent="0.25">
      <c r="L26" s="36"/>
    </row>
  </sheetData>
  <dataValidations disablePrompts="1" count="2">
    <dataValidation type="list" showInputMessage="1" showErrorMessage="1" sqref="B17:B19 B12:B14 B7:B9 B2:B4">
      <formula1>"Fraction,Number"</formula1>
    </dataValidation>
    <dataValidation type="list" showInputMessage="1" showErrorMessage="1" sqref="B22:B24">
      <formula1>"Number"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B43" sqref="B43"/>
    </sheetView>
  </sheetViews>
  <sheetFormatPr defaultRowHeight="15" x14ac:dyDescent="0.25"/>
  <cols>
    <col min="1" max="1" width="60.7109375" customWidth="1"/>
    <col min="2" max="3" width="10.7109375" customWidth="1"/>
    <col min="5" max="10" width="15.28515625" bestFit="1" customWidth="1"/>
  </cols>
  <sheetData>
    <row r="1" spans="1:13" x14ac:dyDescent="0.25">
      <c r="A1" s="18" t="s">
        <v>16</v>
      </c>
      <c r="B1" s="3" t="s">
        <v>7</v>
      </c>
      <c r="C1" s="3" t="s">
        <v>8</v>
      </c>
      <c r="E1" s="3">
        <v>2000</v>
      </c>
      <c r="F1" s="3">
        <v>2365</v>
      </c>
      <c r="G1" s="3">
        <v>2730</v>
      </c>
      <c r="H1" s="3">
        <v>3095</v>
      </c>
      <c r="I1" s="3">
        <v>3460</v>
      </c>
      <c r="J1" s="3">
        <v>3825</v>
      </c>
    </row>
    <row r="2" spans="1:13" x14ac:dyDescent="0.25">
      <c r="A2" t="str">
        <f>'Population Definitions'!$A$2</f>
        <v>General Population</v>
      </c>
      <c r="B2" t="s">
        <v>13</v>
      </c>
      <c r="C2" s="31">
        <v>1604960.9346233434</v>
      </c>
      <c r="D2" t="s">
        <v>15</v>
      </c>
      <c r="E2" s="31"/>
      <c r="F2" s="31"/>
      <c r="G2" s="31"/>
      <c r="H2" s="31"/>
      <c r="I2" s="31"/>
      <c r="J2" s="31"/>
    </row>
    <row r="3" spans="1:13" x14ac:dyDescent="0.25">
      <c r="A3" t="str">
        <f>'Population Definitions'!$A$3</f>
        <v>Pregnant Women</v>
      </c>
      <c r="B3" t="s">
        <v>13</v>
      </c>
      <c r="C3" s="31">
        <v>37231.828167435597</v>
      </c>
      <c r="D3" t="s">
        <v>15</v>
      </c>
      <c r="E3" s="31"/>
      <c r="F3" s="31"/>
      <c r="G3" s="31"/>
      <c r="H3" s="31"/>
      <c r="I3" s="31"/>
      <c r="J3" s="31"/>
    </row>
    <row r="4" spans="1:13" x14ac:dyDescent="0.25">
      <c r="A4" t="str">
        <f>'Population Definitions'!$A$4</f>
        <v>Children 0-5</v>
      </c>
      <c r="B4" t="s">
        <v>13</v>
      </c>
      <c r="C4" s="31">
        <v>390224.02284137328</v>
      </c>
      <c r="D4" t="s">
        <v>15</v>
      </c>
      <c r="E4" s="31"/>
      <c r="F4" s="31"/>
      <c r="G4" s="31"/>
      <c r="H4" s="31"/>
      <c r="I4" s="31"/>
      <c r="J4" s="31"/>
    </row>
    <row r="6" spans="1:13" x14ac:dyDescent="0.25">
      <c r="A6" s="18" t="s">
        <v>17</v>
      </c>
      <c r="B6" s="5" t="s">
        <v>7</v>
      </c>
      <c r="C6" s="5" t="s">
        <v>8</v>
      </c>
      <c r="D6" s="4"/>
      <c r="E6" s="5">
        <v>2000</v>
      </c>
      <c r="F6" s="5">
        <v>2365</v>
      </c>
      <c r="G6" s="5">
        <v>2730</v>
      </c>
      <c r="H6" s="5">
        <v>3095</v>
      </c>
      <c r="I6" s="5">
        <v>3460</v>
      </c>
      <c r="J6" s="5">
        <v>3825</v>
      </c>
    </row>
    <row r="7" spans="1:13" x14ac:dyDescent="0.25">
      <c r="A7" t="str">
        <f>'Population Definitions'!$A$2</f>
        <v>General Population</v>
      </c>
      <c r="B7" t="s">
        <v>13</v>
      </c>
      <c r="C7" s="36">
        <f>IF(SUMPRODUCT(--(E7:T7&lt;&gt;""))=0,C2/4,"N.A.")</f>
        <v>401240.23365583585</v>
      </c>
      <c r="D7" t="s">
        <v>15</v>
      </c>
      <c r="E7" s="36"/>
      <c r="F7" s="36"/>
      <c r="G7" s="36"/>
      <c r="H7" s="36"/>
      <c r="I7" s="36"/>
      <c r="J7" s="36"/>
    </row>
    <row r="8" spans="1:13" x14ac:dyDescent="0.25">
      <c r="A8" t="str">
        <f>'Population Definitions'!$A$3</f>
        <v>Pregnant Women</v>
      </c>
      <c r="B8" t="s">
        <v>13</v>
      </c>
      <c r="C8" s="36">
        <f>IF(SUMPRODUCT(--(E8:T8&lt;&gt;""))=0,C3/4,"N.A.")</f>
        <v>9307.9570418588992</v>
      </c>
      <c r="D8" t="s">
        <v>15</v>
      </c>
      <c r="E8" s="36"/>
      <c r="F8" s="36"/>
      <c r="G8" s="36"/>
      <c r="H8" s="36"/>
      <c r="I8" s="36"/>
      <c r="J8" s="36"/>
    </row>
    <row r="9" spans="1:13" x14ac:dyDescent="0.25">
      <c r="A9" t="str">
        <f>'Population Definitions'!$A$4</f>
        <v>Children 0-5</v>
      </c>
      <c r="B9" t="s">
        <v>13</v>
      </c>
      <c r="C9" s="36">
        <f>IF(SUMPRODUCT(--(E9:T9&lt;&gt;""))=0,C4/4,"N.A.")</f>
        <v>97556.005710343321</v>
      </c>
      <c r="D9" t="s">
        <v>15</v>
      </c>
      <c r="E9" s="36"/>
      <c r="F9" s="36"/>
      <c r="G9" s="36"/>
      <c r="H9" s="36"/>
      <c r="I9" s="36"/>
      <c r="J9" s="36"/>
    </row>
    <row r="10" spans="1:13" x14ac:dyDescent="0.25">
      <c r="M10" s="36"/>
    </row>
    <row r="11" spans="1:13" x14ac:dyDescent="0.25">
      <c r="A11" s="18" t="s">
        <v>18</v>
      </c>
      <c r="B11" s="7" t="s">
        <v>7</v>
      </c>
      <c r="C11" s="7" t="s">
        <v>8</v>
      </c>
      <c r="D11" s="6"/>
      <c r="E11" s="7">
        <v>2000</v>
      </c>
      <c r="F11" s="7">
        <v>2365</v>
      </c>
      <c r="G11" s="7">
        <v>2730</v>
      </c>
      <c r="H11" s="7">
        <v>3095</v>
      </c>
      <c r="I11" s="7">
        <v>3460</v>
      </c>
      <c r="J11" s="7">
        <v>3825</v>
      </c>
    </row>
    <row r="12" spans="1:13" x14ac:dyDescent="0.25">
      <c r="A12" t="str">
        <f>'Population Definitions'!$A$2</f>
        <v>General Population</v>
      </c>
      <c r="B12" t="s">
        <v>13</v>
      </c>
      <c r="C12" s="36">
        <f>IF(SUMPRODUCT(--(E12:T12&lt;&gt;""))=0,C2/4,"N.A.")</f>
        <v>401240.23365583585</v>
      </c>
      <c r="D12" t="s">
        <v>15</v>
      </c>
      <c r="E12" s="37"/>
      <c r="F12" s="37"/>
      <c r="G12" s="37"/>
      <c r="H12" s="37"/>
      <c r="I12" s="37"/>
      <c r="J12" s="37"/>
    </row>
    <row r="13" spans="1:13" x14ac:dyDescent="0.25">
      <c r="A13" t="str">
        <f>'Population Definitions'!$A$3</f>
        <v>Pregnant Women</v>
      </c>
      <c r="B13" t="s">
        <v>13</v>
      </c>
      <c r="C13" s="36">
        <f>IF(SUMPRODUCT(--(E13:T13&lt;&gt;""))=0,C3/4,"N.A.")</f>
        <v>9307.9570418588992</v>
      </c>
      <c r="D13" t="s">
        <v>15</v>
      </c>
      <c r="E13" s="37"/>
      <c r="F13" s="37"/>
      <c r="G13" s="37"/>
      <c r="H13" s="37"/>
      <c r="I13" s="37"/>
      <c r="J13" s="37"/>
    </row>
    <row r="14" spans="1:13" x14ac:dyDescent="0.25">
      <c r="A14" t="str">
        <f>'Population Definitions'!$A$4</f>
        <v>Children 0-5</v>
      </c>
      <c r="B14" t="s">
        <v>13</v>
      </c>
      <c r="C14" s="36">
        <f>IF(SUMPRODUCT(--(E14:T14&lt;&gt;""))=0,C4/4,"N.A.")</f>
        <v>97556.005710343321</v>
      </c>
      <c r="D14" t="s">
        <v>15</v>
      </c>
      <c r="E14" s="37"/>
      <c r="F14" s="37"/>
      <c r="G14" s="37"/>
      <c r="H14" s="37"/>
      <c r="I14" s="37"/>
      <c r="J14" s="37"/>
    </row>
    <row r="16" spans="1:13" x14ac:dyDescent="0.25">
      <c r="A16" s="18" t="s">
        <v>19</v>
      </c>
      <c r="B16" s="9" t="s">
        <v>7</v>
      </c>
      <c r="C16" s="9" t="s">
        <v>8</v>
      </c>
      <c r="D16" s="8"/>
      <c r="E16" s="9">
        <v>2000</v>
      </c>
      <c r="F16" s="9">
        <v>2365</v>
      </c>
      <c r="G16" s="9">
        <v>2730</v>
      </c>
      <c r="H16" s="9">
        <v>3095</v>
      </c>
      <c r="I16" s="9">
        <v>3460</v>
      </c>
      <c r="J16" s="9">
        <v>3825</v>
      </c>
    </row>
    <row r="17" spans="1:10" x14ac:dyDescent="0.25">
      <c r="A17" t="str">
        <f>'Population Definitions'!$A$2</f>
        <v>General Population</v>
      </c>
      <c r="B17" t="s">
        <v>13</v>
      </c>
      <c r="C17" s="36">
        <f>IF(SUMPRODUCT(--(E17:T17&lt;&gt;""))=0,C2/4,"N.A.")</f>
        <v>401240.23365583585</v>
      </c>
      <c r="D17" t="s">
        <v>15</v>
      </c>
      <c r="E17" s="36"/>
      <c r="F17" s="36"/>
      <c r="G17" s="36"/>
      <c r="H17" s="36"/>
      <c r="I17" s="36"/>
      <c r="J17" s="36"/>
    </row>
    <row r="18" spans="1:10" x14ac:dyDescent="0.25">
      <c r="A18" t="str">
        <f>'Population Definitions'!$A$3</f>
        <v>Pregnant Women</v>
      </c>
      <c r="B18" t="s">
        <v>13</v>
      </c>
      <c r="C18" s="36">
        <f>IF(SUMPRODUCT(--(E18:T18&lt;&gt;""))=0,C3/4,"N.A.")</f>
        <v>9307.9570418588992</v>
      </c>
      <c r="D18" t="s">
        <v>15</v>
      </c>
      <c r="E18" s="36"/>
      <c r="F18" s="36"/>
      <c r="G18" s="36"/>
      <c r="H18" s="36"/>
      <c r="I18" s="36"/>
      <c r="J18" s="36"/>
    </row>
    <row r="19" spans="1:10" x14ac:dyDescent="0.25">
      <c r="A19" t="str">
        <f>'Population Definitions'!$A$4</f>
        <v>Children 0-5</v>
      </c>
      <c r="B19" t="s">
        <v>13</v>
      </c>
      <c r="C19" s="36">
        <f>IF(SUMPRODUCT(--(E19:T19&lt;&gt;""))=0,C4/4,"N.A.")</f>
        <v>97556.005710343321</v>
      </c>
      <c r="D19" t="s">
        <v>15</v>
      </c>
      <c r="E19" s="36"/>
      <c r="F19" s="36"/>
      <c r="G19" s="36"/>
      <c r="H19" s="36"/>
      <c r="I19" s="36"/>
      <c r="J19" s="36"/>
    </row>
    <row r="21" spans="1:10" x14ac:dyDescent="0.25">
      <c r="A21" s="18" t="s">
        <v>20</v>
      </c>
      <c r="B21" s="11" t="s">
        <v>7</v>
      </c>
      <c r="C21" s="11" t="s">
        <v>8</v>
      </c>
      <c r="D21" s="10"/>
      <c r="E21" s="11">
        <v>2000</v>
      </c>
      <c r="F21" s="11">
        <v>2365</v>
      </c>
      <c r="G21" s="11">
        <v>2730</v>
      </c>
      <c r="H21" s="11">
        <v>3095</v>
      </c>
      <c r="I21" s="11">
        <v>3460</v>
      </c>
      <c r="J21" s="11">
        <v>3825</v>
      </c>
    </row>
    <row r="22" spans="1:10" x14ac:dyDescent="0.25">
      <c r="A22" t="str">
        <f>'Population Definitions'!$A$2</f>
        <v>General Population</v>
      </c>
      <c r="B22" t="s">
        <v>13</v>
      </c>
      <c r="C22" t="str">
        <f>IF(SUMPRODUCT(--(E22:T22&lt;&gt;""))=0,0,"N.A.")</f>
        <v>N.A.</v>
      </c>
      <c r="D22" t="s">
        <v>15</v>
      </c>
      <c r="E22" s="20">
        <v>0.27666001291370002</v>
      </c>
      <c r="F22" s="20">
        <v>0.30393936289990975</v>
      </c>
      <c r="G22" s="20">
        <v>0.32182419524519634</v>
      </c>
      <c r="H22" s="20">
        <v>0.30755076434614415</v>
      </c>
      <c r="I22" s="20">
        <v>0.26886498899946742</v>
      </c>
      <c r="J22" s="20">
        <v>0.26889999999999997</v>
      </c>
    </row>
    <row r="23" spans="1:10" x14ac:dyDescent="0.25">
      <c r="A23" t="str">
        <f>'Population Definitions'!$A$3</f>
        <v>Pregnant Women</v>
      </c>
      <c r="B23" t="s">
        <v>13</v>
      </c>
      <c r="C23" t="str">
        <f>IF(SUMPRODUCT(--(E23:T23&lt;&gt;""))=0,0,"N.A.")</f>
        <v>N.A.</v>
      </c>
      <c r="D23" t="s">
        <v>15</v>
      </c>
      <c r="E23" s="20">
        <v>0.42770833333333336</v>
      </c>
      <c r="F23" s="20">
        <v>0.41506944444444449</v>
      </c>
      <c r="G23" s="20">
        <v>0.38916666666666666</v>
      </c>
      <c r="H23" s="20">
        <v>0.35972222222222222</v>
      </c>
      <c r="I23" s="20">
        <v>0.30388888888888888</v>
      </c>
      <c r="J23" s="20">
        <v>0.2311111111111111</v>
      </c>
    </row>
    <row r="24" spans="1:10" x14ac:dyDescent="0.25">
      <c r="A24" t="str">
        <f>'Population Definitions'!$A$4</f>
        <v>Children 0-5</v>
      </c>
      <c r="B24" t="s">
        <v>13</v>
      </c>
      <c r="C24" t="str">
        <f>IF(SUMPRODUCT(--(E24:T24&lt;&gt;""))=0,0,"N.A.")</f>
        <v>N.A.</v>
      </c>
      <c r="D24" t="s">
        <v>15</v>
      </c>
      <c r="E24" s="20">
        <v>0.6159</v>
      </c>
      <c r="F24" s="20">
        <v>0.59770000000000001</v>
      </c>
      <c r="G24" s="20">
        <v>0.56040000000000001</v>
      </c>
      <c r="H24" s="20">
        <v>0.51800000000000002</v>
      </c>
      <c r="I24" s="20">
        <v>0.43759999999999999</v>
      </c>
      <c r="J24" s="20">
        <v>0.33279999999999998</v>
      </c>
    </row>
    <row r="26" spans="1:10" x14ac:dyDescent="0.25">
      <c r="A26" s="18" t="s">
        <v>21</v>
      </c>
      <c r="B26" s="13" t="s">
        <v>7</v>
      </c>
      <c r="C26" s="13" t="s">
        <v>8</v>
      </c>
      <c r="D26" s="12"/>
      <c r="E26" s="13">
        <v>2000</v>
      </c>
      <c r="F26" s="13">
        <v>2365</v>
      </c>
      <c r="G26" s="13">
        <v>2730</v>
      </c>
      <c r="H26" s="13">
        <v>3095</v>
      </c>
      <c r="I26" s="13">
        <v>3460</v>
      </c>
      <c r="J26" s="13">
        <v>3825</v>
      </c>
    </row>
    <row r="27" spans="1:10" x14ac:dyDescent="0.25">
      <c r="A27" t="str">
        <f>'Population Definitions'!$A$2</f>
        <v>General Population</v>
      </c>
      <c r="B27" t="s">
        <v>13</v>
      </c>
      <c r="C27">
        <f>IF(SUMPRODUCT(--(E27:T27&lt;&gt;""))=0,SUM(C$2:C$4)*100,"N.A.")</f>
        <v>203241678.56321523</v>
      </c>
      <c r="D27" t="s">
        <v>15</v>
      </c>
      <c r="E27" s="34"/>
      <c r="F27" s="34"/>
      <c r="G27" s="34"/>
      <c r="H27" s="34"/>
      <c r="I27" s="34"/>
      <c r="J27" s="34"/>
    </row>
    <row r="28" spans="1:10" x14ac:dyDescent="0.25">
      <c r="A28" t="str">
        <f>'Population Definitions'!$A$3</f>
        <v>Pregnant Women</v>
      </c>
      <c r="B28" t="s">
        <v>13</v>
      </c>
      <c r="C28" s="37">
        <f t="shared" ref="C28:C29" si="0">IF(SUMPRODUCT(--(E28:T28&lt;&gt;""))=0,SUM(C$2:C$4)*100,"N.A.")</f>
        <v>203241678.56321523</v>
      </c>
      <c r="D28" t="s">
        <v>15</v>
      </c>
      <c r="E28" s="34"/>
      <c r="F28" s="34"/>
      <c r="G28" s="34"/>
      <c r="H28" s="34"/>
      <c r="I28" s="34"/>
      <c r="J28" s="34"/>
    </row>
    <row r="29" spans="1:10" x14ac:dyDescent="0.25">
      <c r="A29" t="str">
        <f>'Population Definitions'!$A$4</f>
        <v>Children 0-5</v>
      </c>
      <c r="B29" t="s">
        <v>13</v>
      </c>
      <c r="C29" s="37">
        <f t="shared" si="0"/>
        <v>203241678.56321523</v>
      </c>
      <c r="D29" t="s">
        <v>15</v>
      </c>
      <c r="E29" s="34"/>
      <c r="F29" s="34"/>
      <c r="G29" s="34"/>
      <c r="H29" s="34"/>
      <c r="I29" s="34"/>
      <c r="J29" s="34"/>
    </row>
    <row r="31" spans="1:10" x14ac:dyDescent="0.25">
      <c r="A31" s="18" t="s">
        <v>22</v>
      </c>
      <c r="B31" s="15" t="s">
        <v>7</v>
      </c>
      <c r="C31" s="15" t="s">
        <v>8</v>
      </c>
      <c r="D31" s="14"/>
      <c r="E31" s="15">
        <v>2000</v>
      </c>
      <c r="F31" s="15">
        <v>2365</v>
      </c>
      <c r="G31" s="15">
        <v>2730</v>
      </c>
      <c r="H31" s="15">
        <v>3095</v>
      </c>
      <c r="I31" s="15">
        <v>3460</v>
      </c>
      <c r="J31" s="15">
        <v>3825</v>
      </c>
    </row>
    <row r="32" spans="1:10" x14ac:dyDescent="0.25">
      <c r="A32" t="str">
        <f>'Population Definitions'!$A$2</f>
        <v>General Population</v>
      </c>
      <c r="B32" t="s">
        <v>13</v>
      </c>
      <c r="C32" s="36">
        <f>IF(SUMPRODUCT(--(E32:T32&lt;&gt;""))=0,C27/3,"N.A.")</f>
        <v>67747226.187738404</v>
      </c>
      <c r="D32" t="s">
        <v>15</v>
      </c>
      <c r="E32" s="35"/>
      <c r="F32" s="35"/>
      <c r="G32" s="35"/>
      <c r="H32" s="35"/>
      <c r="I32" s="35"/>
      <c r="J32" s="35"/>
    </row>
    <row r="33" spans="1:10" x14ac:dyDescent="0.25">
      <c r="A33" t="str">
        <f>'Population Definitions'!$A$3</f>
        <v>Pregnant Women</v>
      </c>
      <c r="B33" t="s">
        <v>13</v>
      </c>
      <c r="C33" s="36">
        <f t="shared" ref="C33:C34" si="1">IF(SUMPRODUCT(--(E33:T33&lt;&gt;""))=0,C28/3,"N.A.")</f>
        <v>67747226.187738404</v>
      </c>
      <c r="D33" t="s">
        <v>15</v>
      </c>
      <c r="E33" s="35"/>
      <c r="F33" s="35"/>
      <c r="G33" s="35"/>
      <c r="H33" s="35"/>
      <c r="I33" s="35"/>
      <c r="J33" s="35"/>
    </row>
    <row r="34" spans="1:10" x14ac:dyDescent="0.25">
      <c r="A34" t="str">
        <f>'Population Definitions'!$A$4</f>
        <v>Children 0-5</v>
      </c>
      <c r="B34" t="s">
        <v>13</v>
      </c>
      <c r="C34" s="36">
        <f t="shared" si="1"/>
        <v>67747226.187738404</v>
      </c>
      <c r="D34" t="s">
        <v>15</v>
      </c>
      <c r="E34" s="35"/>
      <c r="F34" s="35"/>
      <c r="G34" s="35"/>
      <c r="H34" s="35"/>
      <c r="I34" s="35"/>
      <c r="J34" s="35"/>
    </row>
    <row r="36" spans="1:10" x14ac:dyDescent="0.25">
      <c r="A36" s="18" t="s">
        <v>23</v>
      </c>
      <c r="B36" s="17" t="s">
        <v>7</v>
      </c>
      <c r="C36" s="17" t="s">
        <v>8</v>
      </c>
      <c r="D36" s="16"/>
      <c r="E36" s="17">
        <v>2000</v>
      </c>
      <c r="F36" s="17">
        <v>2365</v>
      </c>
      <c r="G36" s="17">
        <v>2730</v>
      </c>
      <c r="H36" s="17">
        <v>3095</v>
      </c>
      <c r="I36" s="17">
        <v>3460</v>
      </c>
      <c r="J36" s="17">
        <v>3825</v>
      </c>
    </row>
    <row r="37" spans="1:10" x14ac:dyDescent="0.25">
      <c r="A37" t="str">
        <f>'Population Definitions'!$A$2</f>
        <v>General Population</v>
      </c>
      <c r="B37" t="s">
        <v>13</v>
      </c>
      <c r="C37" s="36">
        <f>IF(SUMPRODUCT(--(E37:T37&lt;&gt;""))=0,C27/3,"N.A.")</f>
        <v>67747226.187738404</v>
      </c>
      <c r="D37" t="s">
        <v>15</v>
      </c>
      <c r="F37" s="34"/>
      <c r="G37" s="34"/>
      <c r="H37" s="34"/>
      <c r="I37" s="34"/>
      <c r="J37" s="34"/>
    </row>
    <row r="38" spans="1:10" x14ac:dyDescent="0.25">
      <c r="A38" t="str">
        <f>'Population Definitions'!$A$3</f>
        <v>Pregnant Women</v>
      </c>
      <c r="B38" t="s">
        <v>13</v>
      </c>
      <c r="C38" s="36">
        <f t="shared" ref="C38:C39" si="2">IF(SUMPRODUCT(--(E38:T38&lt;&gt;""))=0,C28/3,"N.A.")</f>
        <v>67747226.187738404</v>
      </c>
      <c r="D38" t="s">
        <v>15</v>
      </c>
      <c r="E38" s="34"/>
      <c r="F38" s="34"/>
      <c r="G38" s="34"/>
      <c r="H38" s="34"/>
      <c r="I38" s="34"/>
      <c r="J38" s="34"/>
    </row>
    <row r="39" spans="1:10" x14ac:dyDescent="0.25">
      <c r="A39" t="str">
        <f>'Population Definitions'!$A$4</f>
        <v>Children 0-5</v>
      </c>
      <c r="B39" t="s">
        <v>13</v>
      </c>
      <c r="C39" s="36">
        <f t="shared" si="2"/>
        <v>67747226.187738404</v>
      </c>
      <c r="D39" t="s">
        <v>15</v>
      </c>
      <c r="E39" s="34"/>
      <c r="F39" s="34"/>
      <c r="G39" s="34"/>
      <c r="H39" s="34"/>
      <c r="I39" s="34"/>
      <c r="J39" s="34"/>
    </row>
    <row r="41" spans="1:10" x14ac:dyDescent="0.25">
      <c r="A41" s="38" t="s">
        <v>43</v>
      </c>
      <c r="B41" s="38" t="s">
        <v>7</v>
      </c>
      <c r="C41" s="38" t="s">
        <v>8</v>
      </c>
      <c r="D41" s="38"/>
      <c r="E41" s="38">
        <v>2000</v>
      </c>
      <c r="F41" s="38">
        <v>2365</v>
      </c>
      <c r="G41" s="38">
        <v>2730</v>
      </c>
      <c r="H41" s="38">
        <v>3095</v>
      </c>
      <c r="I41" s="38">
        <v>3460</v>
      </c>
      <c r="J41" s="38">
        <v>3825</v>
      </c>
    </row>
    <row r="42" spans="1:10" x14ac:dyDescent="0.25">
      <c r="A42" s="37" t="str">
        <f>'Population Definitions'!$A$2</f>
        <v>General Population</v>
      </c>
      <c r="B42" s="37" t="s">
        <v>13</v>
      </c>
      <c r="C42" s="37" t="str">
        <f>IF(SUMPRODUCT(--(E42:T42&lt;&gt;""))=0,0,"N.A.")</f>
        <v>N.A.</v>
      </c>
      <c r="D42" s="37" t="s">
        <v>15</v>
      </c>
      <c r="E42" s="31">
        <v>2158.5601098029733</v>
      </c>
      <c r="F42" s="31">
        <v>2019.7963423944746</v>
      </c>
      <c r="G42" s="31">
        <v>2105.1142020076918</v>
      </c>
      <c r="H42" s="31">
        <v>2001.5050262544607</v>
      </c>
      <c r="I42" s="31">
        <v>2137.5488131618622</v>
      </c>
      <c r="J42" s="31">
        <v>2429.1340838820684</v>
      </c>
    </row>
    <row r="43" spans="1:10" x14ac:dyDescent="0.25">
      <c r="A43" s="37" t="str">
        <f>'Population Definitions'!$A$3</f>
        <v>Pregnant Women</v>
      </c>
      <c r="B43" s="37" t="s">
        <v>13</v>
      </c>
      <c r="C43" s="37" t="str">
        <f>IF(SUMPRODUCT(--(E43:T43&lt;&gt;""))=0,0,"N.A.")</f>
        <v>N.A.</v>
      </c>
      <c r="D43" s="37" t="s">
        <v>15</v>
      </c>
      <c r="E43" s="31">
        <v>25.801656920032872</v>
      </c>
      <c r="F43" s="31">
        <v>61.971441086051243</v>
      </c>
      <c r="G43" s="31">
        <v>63.216122014951878</v>
      </c>
      <c r="H43" s="31">
        <v>60.91531359452582</v>
      </c>
      <c r="I43" s="31">
        <v>73.079676754068657</v>
      </c>
      <c r="J43" s="31">
        <v>83.505378505361193</v>
      </c>
    </row>
    <row r="44" spans="1:10" x14ac:dyDescent="0.25">
      <c r="A44" s="37" t="str">
        <f>'Population Definitions'!$A$4</f>
        <v>Children 0-5</v>
      </c>
      <c r="B44" s="37" t="s">
        <v>13</v>
      </c>
      <c r="C44" s="37" t="str">
        <f>IF(SUMPRODUCT(--(E44:T44&lt;&gt;""))=0,0,"N.A.")</f>
        <v>N.A.</v>
      </c>
      <c r="D44" s="37" t="s">
        <v>15</v>
      </c>
      <c r="E44" s="31">
        <v>24660.207123460586</v>
      </c>
      <c r="F44" s="31">
        <v>19489.849445083968</v>
      </c>
      <c r="G44" s="31">
        <v>17856.727997390197</v>
      </c>
      <c r="H44" s="31">
        <v>18427.94497887016</v>
      </c>
      <c r="I44" s="31">
        <v>17738.438851989602</v>
      </c>
      <c r="J44" s="31">
        <v>20788.920496179002</v>
      </c>
    </row>
  </sheetData>
  <dataValidations count="25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:B44">
      <formula1>"Fraction,Number"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6" workbookViewId="0">
      <selection activeCell="E32" sqref="E32:J34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10" s="19" customFormat="1" x14ac:dyDescent="0.25">
      <c r="A1" s="19" t="s">
        <v>24</v>
      </c>
      <c r="B1" s="19" t="s">
        <v>7</v>
      </c>
      <c r="C1" s="19" t="s">
        <v>8</v>
      </c>
      <c r="E1" s="21">
        <v>2000</v>
      </c>
      <c r="F1" s="21">
        <v>2365</v>
      </c>
      <c r="G1" s="21">
        <v>2730</v>
      </c>
      <c r="H1" s="21">
        <v>3095</v>
      </c>
      <c r="I1" s="21">
        <v>3460</v>
      </c>
      <c r="J1" s="21">
        <v>3825</v>
      </c>
    </row>
    <row r="2" spans="1:10" x14ac:dyDescent="0.25">
      <c r="A2" t="str">
        <f>'Population Definitions'!$A$2</f>
        <v>General Population</v>
      </c>
      <c r="B2" t="s">
        <v>13</v>
      </c>
      <c r="C2">
        <f>IF(SUMPRODUCT(--(E2:T2&lt;&gt;""))=0,6,"N.A.")</f>
        <v>6</v>
      </c>
      <c r="D2" t="s">
        <v>15</v>
      </c>
    </row>
    <row r="3" spans="1:10" x14ac:dyDescent="0.25">
      <c r="A3" t="str">
        <f>'Population Definitions'!$A$3</f>
        <v>Pregnant Women</v>
      </c>
      <c r="B3" t="s">
        <v>13</v>
      </c>
      <c r="C3" s="37">
        <f>IF(SUMPRODUCT(--(E3:T3&lt;&gt;""))=0,19,"N.A.")</f>
        <v>19</v>
      </c>
      <c r="D3" t="s">
        <v>15</v>
      </c>
    </row>
    <row r="4" spans="1:10" x14ac:dyDescent="0.25">
      <c r="A4" t="str">
        <f>'Population Definitions'!$A$4</f>
        <v>Children 0-5</v>
      </c>
      <c r="B4" t="s">
        <v>13</v>
      </c>
      <c r="C4" s="37">
        <f>IF(SUMPRODUCT(--(E4:T4&lt;&gt;""))=0,24,"N.A.")</f>
        <v>24</v>
      </c>
      <c r="D4" t="s">
        <v>15</v>
      </c>
    </row>
    <row r="6" spans="1:10" s="19" customFormat="1" x14ac:dyDescent="0.25">
      <c r="A6" s="19" t="s">
        <v>25</v>
      </c>
      <c r="B6" s="19" t="s">
        <v>7</v>
      </c>
      <c r="C6" s="19" t="s">
        <v>8</v>
      </c>
      <c r="E6" s="22">
        <v>2000</v>
      </c>
      <c r="F6" s="22">
        <v>2365</v>
      </c>
      <c r="G6" s="22">
        <v>2730</v>
      </c>
      <c r="H6" s="22">
        <v>3095</v>
      </c>
      <c r="I6" s="22">
        <v>3460</v>
      </c>
      <c r="J6" s="22">
        <v>3825</v>
      </c>
    </row>
    <row r="7" spans="1:10" x14ac:dyDescent="0.25">
      <c r="A7" t="str">
        <f>'Population Definitions'!$A$2</f>
        <v>General Population</v>
      </c>
      <c r="B7" t="s">
        <v>9</v>
      </c>
      <c r="C7">
        <f>IF(SUMPRODUCT(--(E7:T7&lt;&gt;""))=0,0.05,"N.A.")</f>
        <v>0.05</v>
      </c>
      <c r="D7" t="s">
        <v>15</v>
      </c>
    </row>
    <row r="8" spans="1:10" x14ac:dyDescent="0.25">
      <c r="A8" t="str">
        <f>'Population Definitions'!$A$3</f>
        <v>Pregnant Women</v>
      </c>
      <c r="B8" t="s">
        <v>9</v>
      </c>
      <c r="C8">
        <f>IF(SUMPRODUCT(--(E8:T8&lt;&gt;""))=0,0.05,"N.A.")</f>
        <v>0.05</v>
      </c>
      <c r="D8" t="s">
        <v>15</v>
      </c>
    </row>
    <row r="9" spans="1:10" x14ac:dyDescent="0.25">
      <c r="A9" t="str">
        <f>'Population Definitions'!$A$4</f>
        <v>Children 0-5</v>
      </c>
      <c r="B9" t="s">
        <v>9</v>
      </c>
      <c r="C9">
        <f>IF(SUMPRODUCT(--(E9:T9&lt;&gt;""))=0,0.05,"N.A.")</f>
        <v>0.05</v>
      </c>
      <c r="D9" t="s">
        <v>15</v>
      </c>
    </row>
    <row r="11" spans="1:10" s="19" customFormat="1" x14ac:dyDescent="0.25">
      <c r="A11" s="19" t="s">
        <v>26</v>
      </c>
      <c r="B11" s="19" t="s">
        <v>7</v>
      </c>
      <c r="C11" s="19" t="s">
        <v>8</v>
      </c>
      <c r="E11" s="23">
        <v>2000</v>
      </c>
      <c r="F11" s="23">
        <v>2365</v>
      </c>
      <c r="G11" s="23">
        <v>2730</v>
      </c>
      <c r="H11" s="23">
        <v>3095</v>
      </c>
      <c r="I11" s="23">
        <v>3460</v>
      </c>
      <c r="J11" s="23">
        <v>3825</v>
      </c>
    </row>
    <row r="12" spans="1:10" x14ac:dyDescent="0.25">
      <c r="A12" t="str">
        <f>'Population Definitions'!$A$2</f>
        <v>General Population</v>
      </c>
      <c r="B12" t="s">
        <v>9</v>
      </c>
      <c r="C12">
        <f>IF(SUMPRODUCT(--(E12:T12&lt;&gt;""))=0,0.47,"N.A.")</f>
        <v>0.47</v>
      </c>
      <c r="D12" t="s">
        <v>15</v>
      </c>
    </row>
    <row r="13" spans="1:10" x14ac:dyDescent="0.25">
      <c r="A13" t="str">
        <f>'Population Definitions'!$A$3</f>
        <v>Pregnant Women</v>
      </c>
      <c r="B13" t="s">
        <v>9</v>
      </c>
      <c r="C13">
        <f>IF(SUMPRODUCT(--(E13:T13&lt;&gt;""))=0,0.47,"N.A.")</f>
        <v>0.47</v>
      </c>
      <c r="D13" t="s">
        <v>15</v>
      </c>
    </row>
    <row r="14" spans="1:10" x14ac:dyDescent="0.25">
      <c r="A14" t="str">
        <f>'Population Definitions'!$A$4</f>
        <v>Children 0-5</v>
      </c>
      <c r="B14" t="s">
        <v>9</v>
      </c>
      <c r="C14">
        <f>IF(SUMPRODUCT(--(E14:T14&lt;&gt;""))=0,0.47,"N.A.")</f>
        <v>0.47</v>
      </c>
      <c r="D14" t="s">
        <v>15</v>
      </c>
    </row>
    <row r="16" spans="1:10" s="19" customFormat="1" x14ac:dyDescent="0.25">
      <c r="A16" s="19" t="s">
        <v>27</v>
      </c>
      <c r="B16" s="19" t="s">
        <v>7</v>
      </c>
      <c r="C16" s="19" t="s">
        <v>8</v>
      </c>
      <c r="E16" s="24">
        <v>2000</v>
      </c>
      <c r="F16" s="24">
        <v>2365</v>
      </c>
      <c r="G16" s="24">
        <v>2730</v>
      </c>
      <c r="H16" s="24">
        <v>3095</v>
      </c>
      <c r="I16" s="24">
        <v>3460</v>
      </c>
      <c r="J16" s="24">
        <v>3825</v>
      </c>
    </row>
    <row r="17" spans="1:10" x14ac:dyDescent="0.25">
      <c r="A17" t="str">
        <f>'Population Definitions'!$A$2</f>
        <v>General Population</v>
      </c>
      <c r="B17" t="s">
        <v>9</v>
      </c>
      <c r="C17">
        <f>IF(SUMPRODUCT(--(E17:T17&lt;&gt;""))=0,0.1,"N.A.")</f>
        <v>0.1</v>
      </c>
      <c r="D17" t="s">
        <v>15</v>
      </c>
    </row>
    <row r="18" spans="1:10" x14ac:dyDescent="0.25">
      <c r="A18" t="str">
        <f>'Population Definitions'!$A$3</f>
        <v>Pregnant Women</v>
      </c>
      <c r="B18" t="s">
        <v>9</v>
      </c>
      <c r="C18">
        <f>IF(SUMPRODUCT(--(E18:T18&lt;&gt;""))=0,0.1,"N.A.")</f>
        <v>0.1</v>
      </c>
      <c r="D18" t="s">
        <v>15</v>
      </c>
    </row>
    <row r="19" spans="1:10" x14ac:dyDescent="0.25">
      <c r="A19" t="str">
        <f>'Population Definitions'!$A$4</f>
        <v>Children 0-5</v>
      </c>
      <c r="B19" t="s">
        <v>9</v>
      </c>
      <c r="C19">
        <f>IF(SUMPRODUCT(--(E19:T19&lt;&gt;""))=0,0.1,"N.A.")</f>
        <v>0.1</v>
      </c>
      <c r="D19" t="s">
        <v>15</v>
      </c>
    </row>
    <row r="21" spans="1:10" s="19" customFormat="1" x14ac:dyDescent="0.25">
      <c r="A21" s="19" t="s">
        <v>28</v>
      </c>
      <c r="B21" s="19" t="s">
        <v>7</v>
      </c>
      <c r="C21" s="19" t="s">
        <v>8</v>
      </c>
      <c r="E21" s="25">
        <v>2000</v>
      </c>
      <c r="F21" s="25">
        <v>2365</v>
      </c>
      <c r="G21" s="25">
        <v>2730</v>
      </c>
      <c r="H21" s="25">
        <v>3095</v>
      </c>
      <c r="I21" s="25">
        <v>3460</v>
      </c>
      <c r="J21" s="25">
        <v>3825</v>
      </c>
    </row>
    <row r="22" spans="1:10" x14ac:dyDescent="0.25">
      <c r="A22" t="str">
        <f>'Population Definitions'!$A$2</f>
        <v>General Population</v>
      </c>
      <c r="B22" t="s">
        <v>9</v>
      </c>
      <c r="C22">
        <f>IF(SUMPRODUCT(--(E22:T22&lt;&gt;""))=0,0.07,"N.A.")</f>
        <v>7.0000000000000007E-2</v>
      </c>
      <c r="D22" t="s">
        <v>15</v>
      </c>
    </row>
    <row r="23" spans="1:10" x14ac:dyDescent="0.25">
      <c r="A23" t="str">
        <f>'Population Definitions'!$A$3</f>
        <v>Pregnant Women</v>
      </c>
      <c r="B23" t="s">
        <v>9</v>
      </c>
      <c r="C23">
        <f>IF(SUMPRODUCT(--(E23:T23&lt;&gt;""))=0,0.07,"N.A.")</f>
        <v>7.0000000000000007E-2</v>
      </c>
      <c r="D23" t="s">
        <v>15</v>
      </c>
    </row>
    <row r="24" spans="1:10" x14ac:dyDescent="0.25">
      <c r="A24" t="str">
        <f>'Population Definitions'!$A$4</f>
        <v>Children 0-5</v>
      </c>
      <c r="B24" t="s">
        <v>9</v>
      </c>
      <c r="C24">
        <f>IF(SUMPRODUCT(--(E24:T24&lt;&gt;""))=0,0.07,"N.A.")</f>
        <v>7.0000000000000007E-2</v>
      </c>
      <c r="D24" t="s">
        <v>15</v>
      </c>
    </row>
    <row r="26" spans="1:10" s="19" customFormat="1" x14ac:dyDescent="0.25">
      <c r="A26" s="19" t="s">
        <v>29</v>
      </c>
      <c r="B26" s="19" t="s">
        <v>7</v>
      </c>
      <c r="C26" s="19" t="s">
        <v>8</v>
      </c>
      <c r="E26" s="26">
        <v>2000</v>
      </c>
      <c r="F26" s="26">
        <v>2365</v>
      </c>
      <c r="G26" s="26">
        <v>2730</v>
      </c>
      <c r="H26" s="26">
        <v>3095</v>
      </c>
      <c r="I26" s="26">
        <v>3460</v>
      </c>
      <c r="J26" s="26">
        <v>3825</v>
      </c>
    </row>
    <row r="27" spans="1:10" x14ac:dyDescent="0.25">
      <c r="A27" t="str">
        <f>'Population Definitions'!$A$2</f>
        <v>General Population</v>
      </c>
      <c r="B27" t="s">
        <v>9</v>
      </c>
      <c r="C27" s="44">
        <v>0.45155647744001598</v>
      </c>
      <c r="D27" t="s">
        <v>15</v>
      </c>
    </row>
    <row r="28" spans="1:10" x14ac:dyDescent="0.25">
      <c r="A28" t="str">
        <f>'Population Definitions'!$A$3</f>
        <v>Pregnant Women</v>
      </c>
      <c r="B28" t="s">
        <v>9</v>
      </c>
      <c r="C28" s="44">
        <v>0.32360383121050801</v>
      </c>
      <c r="D28" t="s">
        <v>15</v>
      </c>
    </row>
    <row r="29" spans="1:10" x14ac:dyDescent="0.25">
      <c r="A29" t="str">
        <f>'Population Definitions'!$A$4</f>
        <v>Children 0-5</v>
      </c>
      <c r="B29" t="s">
        <v>9</v>
      </c>
      <c r="C29" s="44">
        <v>0.75445567850937101</v>
      </c>
      <c r="D29" t="s">
        <v>15</v>
      </c>
    </row>
    <row r="31" spans="1:10" s="19" customFormat="1" x14ac:dyDescent="0.25">
      <c r="A31" s="19" t="s">
        <v>30</v>
      </c>
      <c r="B31" s="19" t="s">
        <v>7</v>
      </c>
      <c r="C31" s="19" t="s">
        <v>8</v>
      </c>
      <c r="E31" s="27">
        <v>2000</v>
      </c>
      <c r="F31" s="27">
        <v>2365</v>
      </c>
      <c r="G31" s="27">
        <v>2730</v>
      </c>
      <c r="H31" s="27">
        <v>3095</v>
      </c>
      <c r="I31" s="27">
        <v>3460</v>
      </c>
      <c r="J31" s="27">
        <v>3825</v>
      </c>
    </row>
    <row r="32" spans="1:10" x14ac:dyDescent="0.25">
      <c r="A32" t="str">
        <f>'Population Definitions'!$A$2</f>
        <v>General Population</v>
      </c>
      <c r="B32" t="s">
        <v>13</v>
      </c>
      <c r="C32" s="36">
        <v>1614</v>
      </c>
      <c r="D32" t="s">
        <v>15</v>
      </c>
      <c r="E32" s="46"/>
      <c r="F32" s="46"/>
      <c r="G32" s="46"/>
      <c r="H32" s="46"/>
      <c r="I32" s="46"/>
      <c r="J32" s="46"/>
    </row>
    <row r="33" spans="1:10" x14ac:dyDescent="0.25">
      <c r="A33" t="str">
        <f>'Population Definitions'!$A$3</f>
        <v>Pregnant Women</v>
      </c>
      <c r="B33" t="s">
        <v>13</v>
      </c>
      <c r="C33" s="43">
        <v>272</v>
      </c>
      <c r="D33" t="s">
        <v>15</v>
      </c>
      <c r="E33" s="46"/>
      <c r="F33" s="46"/>
      <c r="G33" s="46"/>
      <c r="H33" s="46"/>
      <c r="I33" s="46"/>
      <c r="J33" s="46"/>
    </row>
    <row r="34" spans="1:10" x14ac:dyDescent="0.25">
      <c r="A34" t="str">
        <f>'Population Definitions'!$A$4</f>
        <v>Children 0-5</v>
      </c>
      <c r="B34" t="s">
        <v>13</v>
      </c>
      <c r="C34" s="43">
        <v>432</v>
      </c>
      <c r="D34" t="s">
        <v>15</v>
      </c>
      <c r="E34" s="46"/>
      <c r="F34" s="46"/>
      <c r="G34" s="46"/>
      <c r="H34" s="46"/>
      <c r="I34" s="46"/>
      <c r="J34" s="46"/>
    </row>
    <row r="36" spans="1:10" s="19" customFormat="1" x14ac:dyDescent="0.25">
      <c r="A36" s="19" t="s">
        <v>31</v>
      </c>
      <c r="B36" s="19" t="s">
        <v>7</v>
      </c>
      <c r="C36" s="19" t="s">
        <v>8</v>
      </c>
      <c r="E36" s="28">
        <v>2000</v>
      </c>
      <c r="F36" s="28">
        <v>2365</v>
      </c>
      <c r="G36" s="28">
        <v>2730</v>
      </c>
      <c r="H36" s="28">
        <v>3095</v>
      </c>
      <c r="I36" s="28">
        <v>3460</v>
      </c>
      <c r="J36" s="28">
        <v>3825</v>
      </c>
    </row>
    <row r="37" spans="1:10" x14ac:dyDescent="0.25">
      <c r="A37" t="str">
        <f>'Population Definitions'!$A$2</f>
        <v>General Population</v>
      </c>
      <c r="B37" t="s">
        <v>13</v>
      </c>
      <c r="C37" s="46">
        <v>684.85560786358099</v>
      </c>
      <c r="D37" t="s">
        <v>15</v>
      </c>
    </row>
    <row r="38" spans="1:10" x14ac:dyDescent="0.25">
      <c r="A38" t="str">
        <f>'Population Definitions'!$A$3</f>
        <v>Pregnant Women</v>
      </c>
      <c r="B38" t="s">
        <v>13</v>
      </c>
      <c r="C38" s="46">
        <v>305.173192707162</v>
      </c>
      <c r="D38" t="s">
        <v>15</v>
      </c>
    </row>
    <row r="39" spans="1:10" x14ac:dyDescent="0.25">
      <c r="A39" t="str">
        <f>'Population Definitions'!$A$4</f>
        <v>Children 0-5</v>
      </c>
      <c r="B39" t="s">
        <v>13</v>
      </c>
      <c r="C39" s="46">
        <v>170.54805799533599</v>
      </c>
      <c r="D39" t="s">
        <v>15</v>
      </c>
    </row>
    <row r="41" spans="1:10" s="19" customFormat="1" x14ac:dyDescent="0.25">
      <c r="A41" s="19" t="s">
        <v>32</v>
      </c>
      <c r="B41" s="19" t="s">
        <v>7</v>
      </c>
      <c r="C41" s="19" t="s">
        <v>8</v>
      </c>
      <c r="E41" s="29">
        <v>2000</v>
      </c>
      <c r="F41" s="29">
        <v>2365</v>
      </c>
      <c r="G41" s="29">
        <v>2730</v>
      </c>
      <c r="H41" s="29">
        <v>3095</v>
      </c>
      <c r="I41" s="29">
        <v>3460</v>
      </c>
      <c r="J41" s="29">
        <v>3825</v>
      </c>
    </row>
    <row r="42" spans="1:10" x14ac:dyDescent="0.25">
      <c r="A42" t="str">
        <f>'Population Definitions'!$A$2</f>
        <v>General Population</v>
      </c>
      <c r="B42" t="s">
        <v>9</v>
      </c>
      <c r="C42" s="45">
        <v>1.67329271604864E-2</v>
      </c>
      <c r="D42" t="s">
        <v>15</v>
      </c>
    </row>
    <row r="43" spans="1:10" x14ac:dyDescent="0.25">
      <c r="A43" t="str">
        <f>'Population Definitions'!$A$3</f>
        <v>Pregnant Women</v>
      </c>
      <c r="B43" t="s">
        <v>9</v>
      </c>
      <c r="C43" s="45">
        <v>1.8744096218045399E-2</v>
      </c>
      <c r="D43" t="s">
        <v>15</v>
      </c>
    </row>
    <row r="44" spans="1:10" x14ac:dyDescent="0.25">
      <c r="A44" t="str">
        <f>'Population Definitions'!$A$4</f>
        <v>Children 0-5</v>
      </c>
      <c r="B44" t="s">
        <v>9</v>
      </c>
      <c r="C44" s="45">
        <v>2.2741508311083101E-2</v>
      </c>
      <c r="D44" t="s">
        <v>15</v>
      </c>
    </row>
    <row r="46" spans="1:10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</row>
    <row r="47" spans="1:10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5">
      <c r="B50" s="37"/>
      <c r="C50" s="37"/>
      <c r="D50" s="37"/>
      <c r="E50" s="37"/>
      <c r="F50" s="37"/>
      <c r="G50" s="37"/>
      <c r="H50" s="37"/>
      <c r="I50" s="37"/>
      <c r="J50" s="37"/>
    </row>
  </sheetData>
  <dataValidations disablePrompts="1" count="2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 B47">
      <formula1>"Fraction,Number"</formula1>
    </dataValidation>
    <dataValidation type="list" showInputMessage="1" showErrorMessage="1" sqref="B43 B48">
      <formula1>"Fraction,Number"</formula1>
    </dataValidation>
    <dataValidation type="list" showInputMessage="1" showErrorMessage="1" sqref="B44 B49">
      <formula1>"Fraction,Number"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Population Contacts</vt:lpstr>
      <vt:lpstr>Transfer Definitions</vt:lpstr>
      <vt:lpstr>Transfer Details</vt:lpstr>
      <vt:lpstr>Program Definitions</vt:lpstr>
      <vt:lpstr>Program Details</vt:lpstr>
      <vt:lpstr>Human Malarial Development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Kuschel Christian</cp:lastModifiedBy>
  <dcterms:created xsi:type="dcterms:W3CDTF">2017-08-27T23:47:37Z</dcterms:created>
  <dcterms:modified xsi:type="dcterms:W3CDTF">2017-09-25T03:56:19Z</dcterms:modified>
</cp:coreProperties>
</file>