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 tabRatio="790" firstSheet="3" activeTab="8"/>
  </bookViews>
  <sheets>
    <sheet name="Population Definitions" sheetId="1" r:id="rId1"/>
    <sheet name="Population Contacts" sheetId="2" r:id="rId2"/>
    <sheet name="Transfer Definitions" sheetId="3" r:id="rId3"/>
    <sheet name="Transfer Details" sheetId="4" r:id="rId4"/>
    <sheet name="Program Definitions" sheetId="5" r:id="rId5"/>
    <sheet name="Program Details" sheetId="6" r:id="rId6"/>
    <sheet name="Human Malarial Development" sheetId="7" r:id="rId7"/>
    <sheet name="Epidemic Characteristics" sheetId="8" r:id="rId8"/>
    <sheet name="Cascade Parameters" sheetId="9" r:id="rId9"/>
  </sheets>
  <calcPr calcId="145621"/>
</workbook>
</file>

<file path=xl/calcChain.xml><?xml version="1.0" encoding="utf-8"?>
<calcChain xmlns="http://schemas.openxmlformats.org/spreadsheetml/2006/main">
  <c r="B3" i="6" l="1"/>
  <c r="D3" i="6" s="1"/>
  <c r="D4" i="6"/>
  <c r="C3" i="9" l="1"/>
  <c r="C4" i="9"/>
  <c r="C2" i="9"/>
  <c r="C44" i="9"/>
  <c r="C43" i="9"/>
  <c r="C42" i="9"/>
  <c r="C28" i="9"/>
  <c r="C29" i="9"/>
  <c r="C27" i="9"/>
  <c r="J29" i="7"/>
  <c r="I29" i="7"/>
  <c r="H29" i="7"/>
  <c r="G29" i="7"/>
  <c r="F29" i="7"/>
  <c r="E29" i="7"/>
  <c r="A29" i="7"/>
  <c r="J28" i="7"/>
  <c r="I28" i="7"/>
  <c r="H28" i="7"/>
  <c r="G28" i="7"/>
  <c r="F28" i="7"/>
  <c r="E28" i="7"/>
  <c r="A28" i="7"/>
  <c r="J27" i="7"/>
  <c r="I27" i="7"/>
  <c r="H27" i="7"/>
  <c r="G27" i="7"/>
  <c r="F27" i="7"/>
  <c r="E27" i="7"/>
  <c r="A27" i="7"/>
  <c r="C24" i="7"/>
  <c r="C23" i="7"/>
  <c r="C22" i="7"/>
  <c r="C38" i="9"/>
  <c r="C39" i="9"/>
  <c r="C37" i="9"/>
  <c r="C29" i="7" l="1"/>
  <c r="C28" i="7"/>
  <c r="C27" i="7"/>
  <c r="A44" i="8"/>
  <c r="A43" i="8"/>
  <c r="A42" i="8"/>
  <c r="C44" i="8" l="1"/>
  <c r="C43" i="8"/>
  <c r="C42" i="8"/>
  <c r="C32" i="9"/>
  <c r="C33" i="9"/>
  <c r="C34" i="9"/>
  <c r="E32" i="9"/>
  <c r="F32" i="9"/>
  <c r="G32" i="9"/>
  <c r="H32" i="9"/>
  <c r="I32" i="9"/>
  <c r="J32" i="9"/>
  <c r="E33" i="9"/>
  <c r="F33" i="9"/>
  <c r="G33" i="9"/>
  <c r="H33" i="9"/>
  <c r="I33" i="9"/>
  <c r="J33" i="9"/>
  <c r="E34" i="9"/>
  <c r="F34" i="9"/>
  <c r="G34" i="9"/>
  <c r="H34" i="9"/>
  <c r="I34" i="9"/>
  <c r="J34" i="9"/>
  <c r="C14" i="7"/>
  <c r="C13" i="7"/>
  <c r="C12" i="7"/>
  <c r="E4" i="4"/>
  <c r="E5" i="4"/>
  <c r="E6" i="4"/>
  <c r="E7" i="4"/>
  <c r="E2" i="4"/>
  <c r="C32" i="8"/>
  <c r="C33" i="8"/>
  <c r="C34" i="8"/>
  <c r="C37" i="8"/>
  <c r="C38" i="8"/>
  <c r="C39" i="8"/>
  <c r="C19" i="7"/>
  <c r="C18" i="7"/>
  <c r="C17" i="7"/>
  <c r="C8" i="7"/>
  <c r="C9" i="7"/>
  <c r="C7" i="7"/>
  <c r="C3" i="7"/>
  <c r="C4" i="7"/>
  <c r="C2" i="7"/>
  <c r="C19" i="8" l="1"/>
  <c r="C18" i="8"/>
  <c r="C17" i="8"/>
  <c r="C14" i="8"/>
  <c r="C13" i="8"/>
  <c r="C12" i="8"/>
  <c r="C9" i="8"/>
  <c r="C8" i="8"/>
  <c r="C7" i="8"/>
  <c r="C28" i="8"/>
  <c r="C29" i="8"/>
  <c r="C27" i="8"/>
  <c r="C22" i="9" l="1"/>
  <c r="C23" i="9"/>
  <c r="C24" i="9"/>
  <c r="C14" i="9" l="1"/>
  <c r="C13" i="9"/>
  <c r="C12" i="9"/>
  <c r="C19" i="9"/>
  <c r="C18" i="9"/>
  <c r="C17" i="9"/>
  <c r="C9" i="9"/>
  <c r="C8" i="9"/>
  <c r="C7" i="9"/>
  <c r="E1" i="5"/>
  <c r="D1" i="5"/>
  <c r="C1" i="5"/>
  <c r="A2" i="3" l="1"/>
  <c r="A44" i="9"/>
  <c r="A43" i="9"/>
  <c r="A42" i="9"/>
  <c r="A39" i="9"/>
  <c r="A38" i="9"/>
  <c r="A37" i="9"/>
  <c r="A34" i="9"/>
  <c r="A33" i="9"/>
  <c r="A32" i="9"/>
  <c r="A29" i="9"/>
  <c r="A28" i="9"/>
  <c r="A27" i="9"/>
  <c r="A24" i="9"/>
  <c r="A23" i="9"/>
  <c r="A22" i="9"/>
  <c r="A19" i="9"/>
  <c r="A18" i="9"/>
  <c r="A17" i="9"/>
  <c r="A14" i="9"/>
  <c r="A13" i="9"/>
  <c r="A12" i="9"/>
  <c r="A9" i="9"/>
  <c r="A8" i="9"/>
  <c r="A7" i="9"/>
  <c r="A4" i="9"/>
  <c r="A3" i="9"/>
  <c r="A2" i="9"/>
  <c r="A39" i="8"/>
  <c r="A38" i="8"/>
  <c r="A37" i="8"/>
  <c r="A34" i="8"/>
  <c r="A33" i="8"/>
  <c r="A32" i="8"/>
  <c r="A29" i="8"/>
  <c r="A28" i="8"/>
  <c r="A27" i="8"/>
  <c r="C24" i="8"/>
  <c r="A24" i="8"/>
  <c r="C23" i="8"/>
  <c r="A23" i="8"/>
  <c r="C22" i="8"/>
  <c r="A22" i="8"/>
  <c r="A19" i="8"/>
  <c r="A18" i="8"/>
  <c r="A17" i="8"/>
  <c r="A14" i="8"/>
  <c r="A13" i="8"/>
  <c r="A12" i="8"/>
  <c r="A9" i="8"/>
  <c r="A8" i="8"/>
  <c r="A7" i="8"/>
  <c r="A4" i="8"/>
  <c r="A3" i="8"/>
  <c r="A2" i="8"/>
  <c r="A24" i="7"/>
  <c r="A23" i="7"/>
  <c r="A22" i="7"/>
  <c r="A19" i="7"/>
  <c r="A18" i="7"/>
  <c r="A17" i="7"/>
  <c r="A14" i="7"/>
  <c r="A13" i="7"/>
  <c r="A12" i="7"/>
  <c r="A9" i="7"/>
  <c r="A8" i="7"/>
  <c r="A7" i="7"/>
  <c r="A4" i="7"/>
  <c r="A3" i="7"/>
  <c r="A2" i="7"/>
  <c r="C7" i="4"/>
  <c r="B7" i="4"/>
  <c r="A7" i="4"/>
  <c r="F7" i="4" s="1"/>
  <c r="C6" i="4"/>
  <c r="B6" i="4"/>
  <c r="A6" i="4"/>
  <c r="D6" i="4" s="1"/>
  <c r="C5" i="4"/>
  <c r="B5" i="4"/>
  <c r="A5" i="4"/>
  <c r="F5" i="4" s="1"/>
  <c r="C4" i="4"/>
  <c r="B4" i="4"/>
  <c r="A4" i="4"/>
  <c r="D4" i="4" s="1"/>
  <c r="C3" i="4"/>
  <c r="B3" i="4"/>
  <c r="A3" i="4"/>
  <c r="F3" i="4" s="1"/>
  <c r="C2" i="4"/>
  <c r="B2" i="4"/>
  <c r="A2" i="4"/>
  <c r="D2" i="4" s="1"/>
  <c r="A1" i="4"/>
  <c r="A4" i="3"/>
  <c r="C4" i="2"/>
  <c r="B4" i="2"/>
  <c r="A4" i="2"/>
  <c r="B3" i="2"/>
  <c r="D1" i="2"/>
  <c r="B1" i="2"/>
  <c r="D1" i="3"/>
  <c r="C1" i="3"/>
  <c r="A2" i="2"/>
  <c r="A3" i="2" l="1"/>
  <c r="C1" i="2"/>
  <c r="B1" i="3"/>
  <c r="A3" i="3"/>
  <c r="F2" i="4"/>
  <c r="D3" i="4"/>
  <c r="F4" i="4"/>
  <c r="D5" i="4"/>
  <c r="F6" i="4"/>
  <c r="D7" i="4"/>
  <c r="B5" i="6"/>
  <c r="D5" i="6" s="1"/>
  <c r="E3" i="4"/>
  <c r="H5" i="6" l="1"/>
  <c r="K5" i="6"/>
  <c r="I5" i="6"/>
  <c r="F5" i="6"/>
  <c r="J5" i="6"/>
  <c r="G5" i="6"/>
  <c r="C5" i="6"/>
</calcChain>
</file>

<file path=xl/sharedStrings.xml><?xml version="1.0" encoding="utf-8"?>
<sst xmlns="http://schemas.openxmlformats.org/spreadsheetml/2006/main" count="256" uniqueCount="48">
  <si>
    <t>Name</t>
  </si>
  <si>
    <t>Abbreviation</t>
  </si>
  <si>
    <t>Minimum Age</t>
  </si>
  <si>
    <t>Maximum Age</t>
  </si>
  <si>
    <t>Interaction Impact Weights</t>
  </si>
  <si>
    <t>Aging</t>
  </si>
  <si>
    <t>n</t>
  </si>
  <si>
    <t>Format</t>
  </si>
  <si>
    <t>Assumption</t>
  </si>
  <si>
    <t>Fraction</t>
  </si>
  <si>
    <t>...</t>
  </si>
  <si>
    <t>Cost-Coverage Details</t>
  </si>
  <si>
    <t>Program Funding</t>
  </si>
  <si>
    <t>Number</t>
  </si>
  <si>
    <t>USD</t>
  </si>
  <si>
    <t>OR</t>
  </si>
  <si>
    <t>Human population size [S]</t>
  </si>
  <si>
    <t>Number of exposed humans [S]</t>
  </si>
  <si>
    <t>Number of infected humans [S]</t>
  </si>
  <si>
    <t>Number of immune humans [S]</t>
  </si>
  <si>
    <t>Infectious prevalence of humans [O]</t>
  </si>
  <si>
    <t>Mosquito population size [S]</t>
  </si>
  <si>
    <t>Number of infected mosquitoes [S]</t>
  </si>
  <si>
    <t>Number of exposed mosquitoes [S]</t>
  </si>
  <si>
    <t>Bites per year in humans [P]</t>
  </si>
  <si>
    <t>Probability of transmitting malaria to a human [P]</t>
  </si>
  <si>
    <t>Probability of transmitting malaria to a mosquito [P]</t>
  </si>
  <si>
    <t>Infection rate in humans [P]</t>
  </si>
  <si>
    <t>Infection rate in mosquitoes [P]</t>
  </si>
  <si>
    <t>Recovery rate of humans (immunity) [P]</t>
  </si>
  <si>
    <t>Number of malaria tests (number/year) [P]</t>
  </si>
  <si>
    <t>Average duration of immunity [P]</t>
  </si>
  <si>
    <t>Relative susceptibility among population group [P]</t>
  </si>
  <si>
    <t>Mosquito Population Growth [P]</t>
  </si>
  <si>
    <t>Mosquito Death Rate [P]</t>
  </si>
  <si>
    <t>Human Birth Rate [P]</t>
  </si>
  <si>
    <t>All-cause mortality (%) [P]</t>
  </si>
  <si>
    <t>Malaria deaths (%) [P]</t>
  </si>
  <si>
    <t>Children 0-5</t>
  </si>
  <si>
    <t>child</t>
  </si>
  <si>
    <t>Pregnant Women</t>
  </si>
  <si>
    <t>preg</t>
  </si>
  <si>
    <t>General Population</t>
  </si>
  <si>
    <t>gp</t>
  </si>
  <si>
    <t>Malaria deaths (number/year)</t>
  </si>
  <si>
    <t>Number of infections per year</t>
  </si>
  <si>
    <t>Fixed Cost Program</t>
  </si>
  <si>
    <t>FCP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</si>
</sst>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"/>
    <numFmt numFmtId="167" formatCode="0.000000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/>
    <xf numFmtId="0" fontId="2" fillId="0" borderId="0" xfId="0" applyFont="1"/>
    <xf numFmtId="166" fontId="0" fillId="2" borderId="1" xfId="0" applyNumberFormat="1" applyFill="1" applyBorder="1" applyProtection="1">
      <protection locked="0"/>
    </xf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1" fontId="0" fillId="2" borderId="1" xfId="4" applyNumberFormat="1" applyFont="1" applyFill="1" applyBorder="1" applyProtection="1">
      <protection locked="0"/>
    </xf>
    <xf numFmtId="167" fontId="0" fillId="2" borderId="1" xfId="0" applyNumberFormat="1" applyFill="1" applyBorder="1" applyProtection="1">
      <protection locked="0"/>
    </xf>
    <xf numFmtId="167" fontId="0" fillId="2" borderId="1" xfId="5" applyNumberFormat="1" applyFont="1" applyFill="1" applyBorder="1" applyProtection="1">
      <protection locked="0"/>
    </xf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2" borderId="1" xfId="4" applyNumberFormat="1" applyFont="1" applyFill="1" applyBorder="1" applyAlignment="1" applyProtection="1">
      <alignment wrapText="1"/>
      <protection locked="0"/>
    </xf>
    <xf numFmtId="168" fontId="0" fillId="3" borderId="1" xfId="4" applyNumberFormat="1" applyFont="1" applyFill="1" applyBorder="1" applyProtection="1">
      <protection locked="0"/>
    </xf>
    <xf numFmtId="168" fontId="0" fillId="2" borderId="1" xfId="4" applyNumberFormat="1" applyFont="1" applyFill="1" applyBorder="1" applyProtection="1">
      <protection locked="0"/>
    </xf>
    <xf numFmtId="0" fontId="0" fillId="0" borderId="0" xfId="0"/>
    <xf numFmtId="0" fontId="2" fillId="0" borderId="0" xfId="0" applyFont="1"/>
    <xf numFmtId="0" fontId="4" fillId="4" borderId="0" xfId="6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</cellXfs>
  <cellStyles count="7">
    <cellStyle name="Bad" xfId="6" builtinId="27"/>
    <cellStyle name="Comma" xfId="4" builtinId="3"/>
    <cellStyle name="Comma 2" xfId="1"/>
    <cellStyle name="Currency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8.42578125" bestFit="1" customWidth="1"/>
    <col min="2" max="2" width="12.5703125" bestFit="1" customWidth="1"/>
    <col min="3" max="3" width="13.5703125" bestFit="1" customWidth="1"/>
    <col min="4" max="4" width="13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42</v>
      </c>
      <c r="B2" s="1" t="s">
        <v>43</v>
      </c>
      <c r="C2" s="1"/>
      <c r="D2" s="1"/>
    </row>
    <row r="3" spans="1:4" x14ac:dyDescent="0.25">
      <c r="A3" s="1" t="s">
        <v>40</v>
      </c>
      <c r="B3" s="1" t="s">
        <v>41</v>
      </c>
      <c r="D3" s="42"/>
    </row>
    <row r="4" spans="1:4" x14ac:dyDescent="0.25">
      <c r="A4" s="1" t="s">
        <v>38</v>
      </c>
      <c r="B4" s="1" t="s">
        <v>39</v>
      </c>
      <c r="C4" s="1"/>
      <c r="D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3" sqref="E3"/>
    </sheetView>
  </sheetViews>
  <sheetFormatPr defaultRowHeight="15" x14ac:dyDescent="0.25"/>
  <cols>
    <col min="1" max="1" width="25.7109375" customWidth="1"/>
  </cols>
  <sheetData>
    <row r="1" spans="1:4" x14ac:dyDescent="0.25">
      <c r="A1" t="s">
        <v>4</v>
      </c>
      <c r="B1" t="str">
        <f>'Population Definitions'!$B$2</f>
        <v>gp</v>
      </c>
      <c r="C1" t="str">
        <f>'Population Definitions'!$B$3</f>
        <v>preg</v>
      </c>
      <c r="D1" t="str">
        <f>'Population Definitions'!$B$4</f>
        <v>child</v>
      </c>
    </row>
    <row r="2" spans="1:4" x14ac:dyDescent="0.25">
      <c r="A2" t="str">
        <f>'Population Definitions'!$B$2</f>
        <v>gp</v>
      </c>
      <c r="B2">
        <v>1</v>
      </c>
      <c r="C2">
        <v>1</v>
      </c>
      <c r="D2">
        <v>1</v>
      </c>
    </row>
    <row r="3" spans="1:4" x14ac:dyDescent="0.25">
      <c r="A3" t="str">
        <f>'Population Definitions'!$B$3</f>
        <v>preg</v>
      </c>
      <c r="B3">
        <f>IF(C2&lt;&gt;"",C2,"")</f>
        <v>1</v>
      </c>
      <c r="C3">
        <v>1</v>
      </c>
      <c r="D3">
        <v>1</v>
      </c>
    </row>
    <row r="4" spans="1:4" x14ac:dyDescent="0.25">
      <c r="A4" t="str">
        <f>'Population Definitions'!$B$4</f>
        <v>child</v>
      </c>
      <c r="B4">
        <f>IF(D2&lt;&gt;"",D2,"")</f>
        <v>1</v>
      </c>
      <c r="C4">
        <f>IF(D3&lt;&gt;"",D3,"")</f>
        <v>1</v>
      </c>
      <c r="D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5" x14ac:dyDescent="0.25"/>
  <cols>
    <col min="1" max="1" width="15.7109375" customWidth="1"/>
  </cols>
  <sheetData>
    <row r="1" spans="1:4" x14ac:dyDescent="0.25">
      <c r="A1" t="s">
        <v>5</v>
      </c>
      <c r="B1" t="str">
        <f>'Population Definitions'!$B$2</f>
        <v>gp</v>
      </c>
      <c r="C1" t="str">
        <f>'Population Definitions'!$B$3</f>
        <v>preg</v>
      </c>
      <c r="D1" t="str">
        <f>'Population Definitions'!$B$4</f>
        <v>child</v>
      </c>
    </row>
    <row r="2" spans="1:4" x14ac:dyDescent="0.25">
      <c r="A2" t="str">
        <f>'Population Definitions'!$B$2</f>
        <v>gp</v>
      </c>
      <c r="C2" t="s">
        <v>6</v>
      </c>
      <c r="D2" t="s">
        <v>6</v>
      </c>
    </row>
    <row r="3" spans="1:4" x14ac:dyDescent="0.25">
      <c r="A3" t="str">
        <f>'Population Definitions'!$B$3</f>
        <v>preg</v>
      </c>
      <c r="B3" t="s">
        <v>6</v>
      </c>
      <c r="D3" t="s">
        <v>6</v>
      </c>
    </row>
    <row r="4" spans="1:4" x14ac:dyDescent="0.25">
      <c r="A4" t="str">
        <f>'Population Definitions'!$B$4</f>
        <v>child</v>
      </c>
      <c r="B4" t="s">
        <v>6</v>
      </c>
      <c r="C4" t="s">
        <v>6</v>
      </c>
    </row>
  </sheetData>
  <dataValidations count="9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:E7"/>
    </sheetView>
  </sheetViews>
  <sheetFormatPr defaultRowHeight="15" x14ac:dyDescent="0.25"/>
  <cols>
    <col min="1" max="1" width="18.42578125" customWidth="1"/>
    <col min="3" max="3" width="18.42578125" bestFit="1" customWidth="1"/>
    <col min="4" max="5" width="10.7109375" customWidth="1"/>
  </cols>
  <sheetData>
    <row r="1" spans="1:12" x14ac:dyDescent="0.25">
      <c r="A1" t="str">
        <f>'Transfer Definitions'!A1</f>
        <v>Aging</v>
      </c>
      <c r="D1" s="2" t="s">
        <v>7</v>
      </c>
      <c r="E1" s="2" t="s">
        <v>8</v>
      </c>
      <c r="F1" s="2"/>
      <c r="G1" s="2">
        <v>2000</v>
      </c>
      <c r="H1" s="2">
        <v>2365</v>
      </c>
      <c r="I1" s="2">
        <v>2730</v>
      </c>
      <c r="J1" s="2">
        <v>3095</v>
      </c>
      <c r="K1" s="2">
        <v>3460</v>
      </c>
      <c r="L1" s="2">
        <v>3825</v>
      </c>
    </row>
    <row r="2" spans="1:12" x14ac:dyDescent="0.25">
      <c r="A2" t="str">
        <f>IF('Transfer Definitions'!C2="y",'Population Definitions'!$A$2,"...")</f>
        <v>...</v>
      </c>
      <c r="B2" t="str">
        <f>IF('Transfer Definitions'!C2="y","---&gt;","")</f>
        <v/>
      </c>
      <c r="C2" t="str">
        <f>IF('Transfer Definitions'!C2="y",'Population Definitions'!$A$3,"")</f>
        <v/>
      </c>
      <c r="D2" t="str">
        <f t="shared" ref="D2:D7" si="0">IF(A2&lt;&gt;"...","Fraction","")</f>
        <v/>
      </c>
      <c r="E2" t="str">
        <f>IF(A2&lt;&gt;"...",IF(SUMPRODUCT(--(G2:V2&lt;&gt;""))=0,IF(AND('Population Definitions'!D2&lt;&gt;"",'Population Definitions'!C2&lt;&gt;""),1/('Population Definitions'!D2-'Population Definitions'!C2+1),0),"N.A."),"")</f>
        <v/>
      </c>
      <c r="F2" t="str">
        <f t="shared" ref="F2:F7" si="1">IF(A2&lt;&gt;"...","OR","")</f>
        <v/>
      </c>
    </row>
    <row r="3" spans="1:12" x14ac:dyDescent="0.25">
      <c r="A3" t="str">
        <f>IF('Transfer Definitions'!D2="y",'Population Definitions'!$A$2,"...")</f>
        <v>...</v>
      </c>
      <c r="B3" t="str">
        <f>IF('Transfer Definitions'!D2="y","---&gt;","")</f>
        <v/>
      </c>
      <c r="C3" t="str">
        <f>IF('Transfer Definitions'!D2="y",'Population Definitions'!$A$4,"")</f>
        <v/>
      </c>
      <c r="D3" t="str">
        <f t="shared" si="0"/>
        <v/>
      </c>
      <c r="E3" t="str">
        <f>IF(A3&lt;&gt;"...",IF(SUMPRODUCT(--(G3:V3&lt;&gt;""))=0,IF(AND('Population Definitions'!D2&lt;&gt;"",'Population Definitions'!C2&lt;&gt;""),1/('Population Definitions'!D2-'Population Definitions'!C2+1),0),"N.A."),"")</f>
        <v/>
      </c>
      <c r="F3" t="str">
        <f t="shared" si="1"/>
        <v/>
      </c>
    </row>
    <row r="4" spans="1:12" x14ac:dyDescent="0.25">
      <c r="A4" t="str">
        <f>IF('Transfer Definitions'!B3="y",'Population Definitions'!$A$3,"...")</f>
        <v>...</v>
      </c>
      <c r="B4" t="str">
        <f>IF('Transfer Definitions'!B3="y","---&gt;","")</f>
        <v/>
      </c>
      <c r="C4" t="str">
        <f>IF('Transfer Definitions'!B3="y",'Population Definitions'!$A$2,"")</f>
        <v/>
      </c>
      <c r="D4" t="str">
        <f t="shared" si="0"/>
        <v/>
      </c>
      <c r="E4" s="42" t="str">
        <f>IF(A4&lt;&gt;"...",IF(SUMPRODUCT(--(G4:V4&lt;&gt;""))=0,IF(AND('Population Definitions'!D4&lt;&gt;"",'Population Definitions'!C4&lt;&gt;""),1/('Population Definitions'!D4-'Population Definitions'!C4+1),0),"N.A."),"")</f>
        <v/>
      </c>
      <c r="F4" t="str">
        <f t="shared" si="1"/>
        <v/>
      </c>
    </row>
    <row r="5" spans="1:12" x14ac:dyDescent="0.25">
      <c r="A5" t="str">
        <f>IF('Transfer Definitions'!D3="y",'Population Definitions'!$A$3,"...")</f>
        <v>...</v>
      </c>
      <c r="B5" t="str">
        <f>IF('Transfer Definitions'!D3="y","---&gt;","")</f>
        <v/>
      </c>
      <c r="C5" t="str">
        <f>IF('Transfer Definitions'!D3="y",'Population Definitions'!$A$4,"")</f>
        <v/>
      </c>
      <c r="D5" t="str">
        <f t="shared" si="0"/>
        <v/>
      </c>
      <c r="E5" s="42" t="str">
        <f>IF(A5&lt;&gt;"...",IF(SUMPRODUCT(--(G5:V5&lt;&gt;""))=0,IF(AND('Population Definitions'!D4&lt;&gt;"",'Population Definitions'!C4&lt;&gt;""),1/('Population Definitions'!D4-'Population Definitions'!C4+1),0),"N.A."),"")</f>
        <v/>
      </c>
      <c r="F5" t="str">
        <f t="shared" si="1"/>
        <v/>
      </c>
    </row>
    <row r="6" spans="1:12" x14ac:dyDescent="0.25">
      <c r="A6" t="str">
        <f>IF('Transfer Definitions'!B4="y",'Population Definitions'!$A$4,"...")</f>
        <v>...</v>
      </c>
      <c r="B6" t="str">
        <f>IF('Transfer Definitions'!B4="y","---&gt;","")</f>
        <v/>
      </c>
      <c r="C6" t="str">
        <f>IF('Transfer Definitions'!B4="y",'Population Definitions'!$A$2,"")</f>
        <v/>
      </c>
      <c r="D6" t="str">
        <f t="shared" si="0"/>
        <v/>
      </c>
      <c r="E6" s="42" t="str">
        <f>IF(A6&lt;&gt;"...",IF(SUMPRODUCT(--(G6:V6&lt;&gt;""))=0,IF(AND('Population Definitions'!D6&lt;&gt;"",'Population Definitions'!C6&lt;&gt;""),1/('Population Definitions'!D6-'Population Definitions'!C6+1),0),"N.A."),"")</f>
        <v/>
      </c>
      <c r="F6" t="str">
        <f t="shared" si="1"/>
        <v/>
      </c>
    </row>
    <row r="7" spans="1:12" x14ac:dyDescent="0.25">
      <c r="A7" t="str">
        <f>IF('Transfer Definitions'!C4="y",'Population Definitions'!$A$4,"...")</f>
        <v>...</v>
      </c>
      <c r="B7" t="str">
        <f>IF('Transfer Definitions'!C4="y","---&gt;","")</f>
        <v/>
      </c>
      <c r="C7" t="str">
        <f>IF('Transfer Definitions'!C4="y",'Population Definitions'!$A$3,"")</f>
        <v/>
      </c>
      <c r="D7" t="str">
        <f t="shared" si="0"/>
        <v/>
      </c>
      <c r="E7" s="42" t="str">
        <f>IF(A7&lt;&gt;"...",IF(SUMPRODUCT(--(G7:V7&lt;&gt;""))=0,IF(AND('Population Definitions'!D6&lt;&gt;"",'Population Definitions'!C6&lt;&gt;""),1/('Population Definitions'!D6-'Population Definitions'!C6+1),0),"N.A."),"")</f>
        <v/>
      </c>
      <c r="F7" t="str">
        <f t="shared" si="1"/>
        <v/>
      </c>
    </row>
  </sheetData>
  <dataValidations count="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5" x14ac:dyDescent="0.25"/>
  <cols>
    <col min="1" max="1" width="44.28515625" bestFit="1" customWidth="1"/>
    <col min="2" max="2" width="12.5703125" bestFit="1" customWidth="1"/>
    <col min="3" max="3" width="3.140625" bestFit="1" customWidth="1"/>
    <col min="4" max="4" width="5" bestFit="1" customWidth="1"/>
    <col min="5" max="5" width="5.28515625" bestFit="1" customWidth="1"/>
  </cols>
  <sheetData>
    <row r="1" spans="1:5" x14ac:dyDescent="0.25">
      <c r="A1" s="4" t="s">
        <v>0</v>
      </c>
      <c r="B1" s="4" t="s">
        <v>1</v>
      </c>
      <c r="C1" s="4" t="str">
        <f>'Population Definitions'!B2</f>
        <v>gp</v>
      </c>
      <c r="D1" s="4" t="str">
        <f>'Population Definitions'!B3</f>
        <v>preg</v>
      </c>
      <c r="E1" s="4" t="str">
        <f>'Population Definitions'!B4</f>
        <v>child</v>
      </c>
    </row>
    <row r="2" spans="1:5" s="48" customFormat="1" x14ac:dyDescent="0.25">
      <c r="A2" s="48" t="s">
        <v>46</v>
      </c>
      <c r="B2" s="48" t="s">
        <v>47</v>
      </c>
      <c r="C2" s="48" t="s">
        <v>6</v>
      </c>
      <c r="D2" s="48" t="s">
        <v>6</v>
      </c>
      <c r="E2" s="48" t="s">
        <v>6</v>
      </c>
    </row>
    <row r="3" spans="1:5" x14ac:dyDescent="0.25">
      <c r="A3" s="3"/>
      <c r="B3" s="3"/>
      <c r="C3" s="3"/>
      <c r="D3" s="3"/>
      <c r="E3" s="3"/>
    </row>
  </sheetData>
  <dataValidations count="1">
    <dataValidation type="list" showInputMessage="1" showErrorMessage="1" sqref="C2:E3">
      <formula1>"n,y"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7" sqref="A7:XFD14"/>
    </sheetView>
  </sheetViews>
  <sheetFormatPr defaultRowHeight="15" x14ac:dyDescent="0.25"/>
  <cols>
    <col min="1" max="2" width="35.7109375" customWidth="1"/>
    <col min="3" max="4" width="10.7109375" customWidth="1"/>
  </cols>
  <sheetData>
    <row r="1" spans="1:11" x14ac:dyDescent="0.25">
      <c r="A1" s="47" t="s">
        <v>46</v>
      </c>
      <c r="B1" s="48" t="s">
        <v>46</v>
      </c>
    </row>
    <row r="2" spans="1:11" x14ac:dyDescent="0.25">
      <c r="A2" t="s">
        <v>10</v>
      </c>
      <c r="C2" t="s">
        <v>7</v>
      </c>
      <c r="D2" t="s">
        <v>8</v>
      </c>
      <c r="F2" s="43">
        <v>2000</v>
      </c>
      <c r="G2" s="43">
        <v>2365</v>
      </c>
      <c r="H2" s="43">
        <v>2730</v>
      </c>
      <c r="I2" s="43">
        <v>3095</v>
      </c>
      <c r="J2" s="43">
        <v>3460</v>
      </c>
      <c r="K2" s="43">
        <v>3825</v>
      </c>
    </row>
    <row r="3" spans="1:11" x14ac:dyDescent="0.25">
      <c r="A3" t="s">
        <v>11</v>
      </c>
      <c r="B3" s="48" t="str">
        <f>IF(B1="Fixed Cost Program","...","Program Coverage")</f>
        <v>...</v>
      </c>
      <c r="D3" t="str">
        <f>IF(B3&lt;&gt;"...",IF(SUMPRODUCT(--(F3:K3&lt;&gt;""))=0,0.036,"N.A."),"")</f>
        <v/>
      </c>
      <c r="E3" t="s">
        <v>15</v>
      </c>
      <c r="G3" s="45"/>
      <c r="H3" s="45"/>
      <c r="I3" s="45"/>
      <c r="J3" s="45"/>
      <c r="K3" s="45">
        <v>10</v>
      </c>
    </row>
    <row r="4" spans="1:11" x14ac:dyDescent="0.25">
      <c r="A4" t="s">
        <v>10</v>
      </c>
      <c r="B4" t="s">
        <v>12</v>
      </c>
      <c r="C4" t="s">
        <v>14</v>
      </c>
      <c r="D4">
        <f>IF(SUMPRODUCT(--(F4:K4&lt;&gt;""))=0,0,"N.A.")</f>
        <v>0</v>
      </c>
      <c r="E4" s="48" t="s">
        <v>15</v>
      </c>
      <c r="G4" s="45"/>
      <c r="H4" s="45"/>
      <c r="I4" s="45"/>
      <c r="J4" s="45"/>
      <c r="K4" s="45"/>
    </row>
    <row r="5" spans="1:11" x14ac:dyDescent="0.25">
      <c r="A5" t="s">
        <v>10</v>
      </c>
      <c r="B5" t="str">
        <f>IF(B1="Fixed Cost Program","...",CONCATENATE("Unit Cost Estimate",IF(C3="Fraction"," (Per 1%)","")))</f>
        <v>...</v>
      </c>
      <c r="C5" t="str">
        <f>IF(B5&lt;&gt;"...","USD","")</f>
        <v/>
      </c>
      <c r="D5" t="str">
        <f>IF(B5&lt;&gt;"...",IF(SUMPRODUCT(--(F5:K5&lt;&gt;"..."))=0,10,"N.A."),"")</f>
        <v/>
      </c>
      <c r="E5" s="48" t="s">
        <v>15</v>
      </c>
      <c r="F5" t="str">
        <f>IF(B5&lt;&gt;"...","...","")</f>
        <v/>
      </c>
      <c r="G5" t="str">
        <f>IF(B5&lt;&gt;"...","...","")</f>
        <v/>
      </c>
      <c r="H5" t="str">
        <f>IF(B5&lt;&gt;"...","...","")</f>
        <v/>
      </c>
      <c r="I5" t="str">
        <f>IF(B5&lt;&gt;"...","...","")</f>
        <v/>
      </c>
      <c r="J5" t="str">
        <f>IF(B5&lt;&gt;"...","...","")</f>
        <v/>
      </c>
      <c r="K5" t="str">
        <f>IF(B5&lt;&gt;"...","...","")</f>
        <v/>
      </c>
    </row>
    <row r="6" spans="1:11" s="42" customFormat="1" x14ac:dyDescent="0.25"/>
    <row r="7" spans="1:1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</row>
    <row r="8" spans="1:11" x14ac:dyDescent="0.25">
      <c r="A8" s="45"/>
      <c r="B8" s="45"/>
      <c r="C8" s="45"/>
      <c r="D8" s="45"/>
      <c r="E8" s="45"/>
      <c r="F8" s="43"/>
      <c r="G8" s="43"/>
      <c r="H8" s="43"/>
      <c r="I8" s="43"/>
      <c r="J8" s="43"/>
      <c r="K8" s="43"/>
    </row>
    <row r="9" spans="1:1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5"/>
      <c r="B12" s="46"/>
      <c r="C12" s="45"/>
      <c r="D12" s="45"/>
      <c r="E12" s="45"/>
      <c r="F12" s="45"/>
      <c r="G12" s="45"/>
      <c r="H12" s="45"/>
      <c r="I12" s="45"/>
      <c r="J12" s="45"/>
      <c r="K12" s="45"/>
    </row>
  </sheetData>
  <dataValidations count="5">
    <dataValidation type="list" showInputMessage="1" showErrorMessage="1" sqref="C3 C9">
      <formula1>"Number,Fraction"</formula1>
    </dataValidation>
    <dataValidation type="list" showInputMessage="1" showErrorMessage="1" sqref="C4:C5 C10:C11">
      <formula1>"USD"</formula1>
    </dataValidation>
    <dataValidation type="list" showInputMessage="1" showErrorMessage="1" sqref="C12">
      <formula1>"Unique"</formula1>
    </dataValidation>
    <dataValidation type="list" showInputMessage="1" showErrorMessage="1" sqref="B1 B7">
      <formula1>"Fixed Cost Program,Treatment Program,Contact Control Program,Indoor Residual Spraying"</formula1>
    </dataValidation>
    <dataValidation type="list" showInputMessage="1" showErrorMessage="1" sqref="F5:K5 F11:K11">
      <formula1>"..."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I27" sqref="I27"/>
    </sheetView>
  </sheetViews>
  <sheetFormatPr defaultRowHeight="15" x14ac:dyDescent="0.25"/>
  <cols>
    <col min="1" max="1" width="60.7109375" customWidth="1"/>
    <col min="2" max="3" width="10.7109375" customWidth="1"/>
    <col min="5" max="10" width="9.5703125" bestFit="1" customWidth="1"/>
  </cols>
  <sheetData>
    <row r="1" spans="1:10" s="32" customFormat="1" x14ac:dyDescent="0.25">
      <c r="A1" s="32" t="s">
        <v>33</v>
      </c>
      <c r="B1" s="32" t="s">
        <v>7</v>
      </c>
      <c r="C1" s="32" t="s">
        <v>8</v>
      </c>
      <c r="E1" s="32">
        <v>2000</v>
      </c>
      <c r="F1" s="32">
        <v>2365</v>
      </c>
      <c r="G1" s="32">
        <v>2730</v>
      </c>
      <c r="H1" s="32">
        <v>3095</v>
      </c>
      <c r="I1" s="32">
        <v>3460</v>
      </c>
      <c r="J1" s="32">
        <v>3825</v>
      </c>
    </row>
    <row r="2" spans="1:10" x14ac:dyDescent="0.25">
      <c r="A2" t="str">
        <f>'Population Definitions'!$A$2</f>
        <v>General Population</v>
      </c>
      <c r="B2" t="s">
        <v>9</v>
      </c>
      <c r="C2">
        <f>IF(SUMPRODUCT(--(E2:T2&lt;&gt;""))=0,0.03,"N.A.")</f>
        <v>0.03</v>
      </c>
      <c r="D2" t="s">
        <v>15</v>
      </c>
    </row>
    <row r="3" spans="1:10" x14ac:dyDescent="0.25">
      <c r="A3" t="str">
        <f>'Population Definitions'!$A$3</f>
        <v>Pregnant Women</v>
      </c>
      <c r="B3" t="s">
        <v>9</v>
      </c>
      <c r="C3" s="42">
        <f t="shared" ref="C3:C4" si="0">IF(SUMPRODUCT(--(E3:T3&lt;&gt;""))=0,0.03,"N.A.")</f>
        <v>0.03</v>
      </c>
      <c r="D3" t="s">
        <v>15</v>
      </c>
    </row>
    <row r="4" spans="1:10" x14ac:dyDescent="0.25">
      <c r="A4" t="str">
        <f>'Population Definitions'!$A$4</f>
        <v>Children 0-5</v>
      </c>
      <c r="B4" t="s">
        <v>9</v>
      </c>
      <c r="C4" s="42">
        <f t="shared" si="0"/>
        <v>0.03</v>
      </c>
      <c r="D4" t="s">
        <v>15</v>
      </c>
    </row>
    <row r="6" spans="1:10" s="32" customFormat="1" x14ac:dyDescent="0.25">
      <c r="A6" s="32" t="s">
        <v>34</v>
      </c>
      <c r="B6" s="32" t="s">
        <v>7</v>
      </c>
      <c r="C6" s="32" t="s">
        <v>8</v>
      </c>
      <c r="E6" s="32">
        <v>2000</v>
      </c>
      <c r="F6" s="32">
        <v>2365</v>
      </c>
      <c r="G6" s="32">
        <v>2730</v>
      </c>
      <c r="H6" s="32">
        <v>3095</v>
      </c>
      <c r="I6" s="32">
        <v>3460</v>
      </c>
      <c r="J6" s="32">
        <v>3825</v>
      </c>
    </row>
    <row r="7" spans="1:10" x14ac:dyDescent="0.25">
      <c r="A7" t="str">
        <f>'Population Definitions'!$A$2</f>
        <v>General Population</v>
      </c>
      <c r="B7" t="s">
        <v>9</v>
      </c>
      <c r="C7">
        <f>IF(SUMPRODUCT(--(E7:T7&lt;&gt;""))=0,0.03,"N.A.")</f>
        <v>0.03</v>
      </c>
      <c r="D7" t="s">
        <v>15</v>
      </c>
    </row>
    <row r="8" spans="1:10" x14ac:dyDescent="0.25">
      <c r="A8" t="str">
        <f>'Population Definitions'!$A$3</f>
        <v>Pregnant Women</v>
      </c>
      <c r="B8" t="s">
        <v>9</v>
      </c>
      <c r="C8" s="42">
        <f t="shared" ref="C8:C9" si="1">IF(SUMPRODUCT(--(E8:T8&lt;&gt;""))=0,0.03,"N.A.")</f>
        <v>0.03</v>
      </c>
      <c r="D8" t="s">
        <v>15</v>
      </c>
    </row>
    <row r="9" spans="1:10" x14ac:dyDescent="0.25">
      <c r="A9" t="str">
        <f>'Population Definitions'!$A$4</f>
        <v>Children 0-5</v>
      </c>
      <c r="B9" t="s">
        <v>9</v>
      </c>
      <c r="C9" s="42">
        <f t="shared" si="1"/>
        <v>0.03</v>
      </c>
      <c r="D9" t="s">
        <v>15</v>
      </c>
    </row>
    <row r="11" spans="1:10" s="32" customFormat="1" x14ac:dyDescent="0.25">
      <c r="A11" s="32" t="s">
        <v>35</v>
      </c>
      <c r="B11" s="32" t="s">
        <v>7</v>
      </c>
      <c r="C11" s="32" t="s">
        <v>8</v>
      </c>
      <c r="E11" s="32">
        <v>2000</v>
      </c>
      <c r="F11" s="32">
        <v>2365</v>
      </c>
      <c r="G11" s="32">
        <v>2730</v>
      </c>
      <c r="H11" s="32">
        <v>3095</v>
      </c>
      <c r="I11" s="32">
        <v>3460</v>
      </c>
      <c r="J11" s="32">
        <v>3825</v>
      </c>
    </row>
    <row r="12" spans="1:10" x14ac:dyDescent="0.25">
      <c r="A12" t="str">
        <f>'Population Definitions'!$A$2</f>
        <v>General Population</v>
      </c>
      <c r="B12" t="s">
        <v>9</v>
      </c>
      <c r="C12" s="44">
        <f>IF(SUMPRODUCT(--(E12:T12&lt;&gt;""))=0,0,"N.A.")</f>
        <v>0</v>
      </c>
      <c r="D12" t="s">
        <v>15</v>
      </c>
    </row>
    <row r="13" spans="1:10" x14ac:dyDescent="0.25">
      <c r="A13" t="str">
        <f>'Population Definitions'!$A$3</f>
        <v>Pregnant Women</v>
      </c>
      <c r="B13" t="s">
        <v>9</v>
      </c>
      <c r="C13" s="44">
        <f>IF(SUMPRODUCT(--(E13:T13&lt;&gt;""))=0,0,"N.A.")</f>
        <v>0</v>
      </c>
      <c r="D13" t="s">
        <v>15</v>
      </c>
    </row>
    <row r="14" spans="1:10" x14ac:dyDescent="0.25">
      <c r="A14" t="str">
        <f>'Population Definitions'!$A$4</f>
        <v>Children 0-5</v>
      </c>
      <c r="B14" t="s">
        <v>9</v>
      </c>
      <c r="C14" s="44">
        <f>IF(SUMPRODUCT(--(E14:T14&lt;&gt;""))=0,0,"N.A.")</f>
        <v>0</v>
      </c>
      <c r="D14" t="s">
        <v>15</v>
      </c>
    </row>
    <row r="16" spans="1:10" s="32" customFormat="1" x14ac:dyDescent="0.25">
      <c r="A16" s="32" t="s">
        <v>36</v>
      </c>
      <c r="B16" s="32" t="s">
        <v>7</v>
      </c>
      <c r="C16" s="32" t="s">
        <v>8</v>
      </c>
      <c r="E16" s="32">
        <v>2000</v>
      </c>
      <c r="F16" s="32">
        <v>2365</v>
      </c>
      <c r="G16" s="32">
        <v>2730</v>
      </c>
      <c r="H16" s="32">
        <v>3095</v>
      </c>
      <c r="I16" s="32">
        <v>3460</v>
      </c>
      <c r="J16" s="32">
        <v>3825</v>
      </c>
    </row>
    <row r="17" spans="1:14" x14ac:dyDescent="0.25">
      <c r="A17" t="str">
        <f>'Population Definitions'!$A$2</f>
        <v>General Population</v>
      </c>
      <c r="B17" t="s">
        <v>9</v>
      </c>
      <c r="C17">
        <f>IF(SUMPRODUCT(--(E17:T17&lt;&gt;""))=0,1-(1-0.005295)^(1/365),"N.A.")</f>
        <v>1.4545286531886248E-5</v>
      </c>
      <c r="D17" t="s">
        <v>15</v>
      </c>
      <c r="E17" s="34"/>
      <c r="F17" s="34"/>
      <c r="G17" s="34"/>
      <c r="H17" s="34"/>
      <c r="I17" s="34"/>
      <c r="J17" s="34"/>
    </row>
    <row r="18" spans="1:14" x14ac:dyDescent="0.25">
      <c r="A18" t="str">
        <f>'Population Definitions'!$A$3</f>
        <v>Pregnant Women</v>
      </c>
      <c r="B18" t="s">
        <v>9</v>
      </c>
      <c r="C18">
        <f>IF(SUMPRODUCT(--(E18:T18&lt;&gt;""))=0,1-(1-0.01165)^(1/365),"N.A.")</f>
        <v>3.2104670809940394E-5</v>
      </c>
      <c r="D18" t="s">
        <v>15</v>
      </c>
      <c r="E18" s="34"/>
      <c r="F18" s="34"/>
      <c r="G18" s="34"/>
      <c r="H18" s="34"/>
      <c r="I18" s="34"/>
      <c r="J18" s="34"/>
    </row>
    <row r="19" spans="1:14" x14ac:dyDescent="0.25">
      <c r="A19" t="str">
        <f>'Population Definitions'!$A$4</f>
        <v>Children 0-5</v>
      </c>
      <c r="B19" t="s">
        <v>9</v>
      </c>
      <c r="C19">
        <f>IF(SUMPRODUCT(--(E19:T19&lt;&gt;""))=0,1-(1-0.165)^(1/365),"N.A.")</f>
        <v>4.9391511835539248E-4</v>
      </c>
      <c r="D19" t="s">
        <v>15</v>
      </c>
      <c r="E19" s="34"/>
      <c r="F19" s="34"/>
      <c r="G19" s="34"/>
      <c r="H19" s="34"/>
      <c r="I19" s="34"/>
      <c r="J19" s="34"/>
    </row>
    <row r="21" spans="1:14" s="32" customFormat="1" x14ac:dyDescent="0.25">
      <c r="A21" s="32" t="s">
        <v>37</v>
      </c>
      <c r="B21" s="32" t="s">
        <v>7</v>
      </c>
      <c r="C21" s="32" t="s">
        <v>8</v>
      </c>
      <c r="E21" s="32">
        <v>2000</v>
      </c>
      <c r="F21" s="32">
        <v>2365</v>
      </c>
      <c r="G21" s="32">
        <v>2730</v>
      </c>
      <c r="H21" s="32">
        <v>3095</v>
      </c>
      <c r="I21" s="32">
        <v>3460</v>
      </c>
      <c r="J21" s="32">
        <v>3825</v>
      </c>
    </row>
    <row r="22" spans="1:14" x14ac:dyDescent="0.25">
      <c r="A22" t="str">
        <f>'Population Definitions'!$A$2</f>
        <v>General Population</v>
      </c>
      <c r="B22" t="s">
        <v>9</v>
      </c>
      <c r="C22">
        <f>IF(SUMPRODUCT(--(E22:T22&lt;&gt;""))=0,0.00002,"N.A.")</f>
        <v>2.0000000000000002E-5</v>
      </c>
      <c r="D22" t="s">
        <v>15</v>
      </c>
      <c r="E22" s="35"/>
      <c r="F22" s="35"/>
      <c r="G22" s="35"/>
      <c r="H22" s="35"/>
      <c r="I22" s="35"/>
      <c r="J22" s="35"/>
    </row>
    <row r="23" spans="1:14" x14ac:dyDescent="0.25">
      <c r="A23" t="str">
        <f>'Population Definitions'!$A$3</f>
        <v>Pregnant Women</v>
      </c>
      <c r="B23" t="s">
        <v>9</v>
      </c>
      <c r="C23" s="42">
        <f>IF(SUMPRODUCT(--(E23:T23&lt;&gt;""))=0,0.00002,"N.A.")</f>
        <v>2.0000000000000002E-5</v>
      </c>
      <c r="D23" t="s">
        <v>15</v>
      </c>
      <c r="E23" s="35"/>
      <c r="F23" s="35"/>
      <c r="G23" s="35"/>
      <c r="H23" s="35"/>
      <c r="I23" s="35"/>
      <c r="J23" s="35"/>
    </row>
    <row r="24" spans="1:14" x14ac:dyDescent="0.25">
      <c r="A24" t="str">
        <f>'Population Definitions'!$A$4</f>
        <v>Children 0-5</v>
      </c>
      <c r="B24" t="s">
        <v>9</v>
      </c>
      <c r="C24" s="42">
        <f>IF(SUMPRODUCT(--(E24:T24&lt;&gt;""))=0,0.0001,"N.A.")</f>
        <v>1E-4</v>
      </c>
      <c r="D24" t="s">
        <v>15</v>
      </c>
      <c r="E24" s="35"/>
      <c r="F24" s="35"/>
      <c r="G24" s="35"/>
      <c r="H24" s="35"/>
      <c r="I24" s="35"/>
      <c r="J24" s="35"/>
    </row>
    <row r="26" spans="1:14" x14ac:dyDescent="0.25">
      <c r="A26" s="43" t="s">
        <v>45</v>
      </c>
      <c r="B26" s="43" t="s">
        <v>7</v>
      </c>
      <c r="C26" s="43" t="s">
        <v>8</v>
      </c>
      <c r="D26" s="42"/>
      <c r="E26" s="43">
        <v>2000</v>
      </c>
      <c r="F26" s="43">
        <v>2365</v>
      </c>
      <c r="G26" s="43">
        <v>2730</v>
      </c>
      <c r="H26" s="43">
        <v>3095</v>
      </c>
      <c r="I26" s="43">
        <v>3460</v>
      </c>
      <c r="J26" s="43">
        <v>3825</v>
      </c>
    </row>
    <row r="27" spans="1:14" x14ac:dyDescent="0.25">
      <c r="A27" s="42" t="str">
        <f>'Population Definitions'!$A$2</f>
        <v>General Population</v>
      </c>
      <c r="B27" s="42" t="s">
        <v>13</v>
      </c>
      <c r="C27" s="38" t="str">
        <f>IF(SUMPRODUCT(--(E27:T27&lt;&gt;""))=0,C17/4,"N.A.")</f>
        <v>N.A.</v>
      </c>
      <c r="D27" s="42" t="s">
        <v>15</v>
      </c>
      <c r="E27" s="33">
        <f>444028.512898878</f>
        <v>444028.51289887802</v>
      </c>
      <c r="F27" s="33">
        <f>510069.235389158</f>
        <v>510069.23538915801</v>
      </c>
      <c r="G27" s="33">
        <f>562897.024486538</f>
        <v>562897.02448653802</v>
      </c>
      <c r="H27" s="33">
        <f>511455.785444692</f>
        <v>511455.78544469201</v>
      </c>
      <c r="I27" s="33">
        <f>477512.664070678</f>
        <v>477512.664070678</v>
      </c>
      <c r="J27" s="33">
        <f>362432.525567375</f>
        <v>362432.52556737501</v>
      </c>
      <c r="L27" s="38"/>
    </row>
    <row r="28" spans="1:14" x14ac:dyDescent="0.25">
      <c r="A28" s="42" t="str">
        <f>'Population Definitions'!$A$3</f>
        <v>Pregnant Women</v>
      </c>
      <c r="B28" s="42" t="s">
        <v>13</v>
      </c>
      <c r="C28" s="38" t="str">
        <f>IF(SUMPRODUCT(--(E28:T28&lt;&gt;""))=0,C18/4,"N.A.")</f>
        <v>N.A.</v>
      </c>
      <c r="D28" s="42" t="s">
        <v>15</v>
      </c>
      <c r="E28" s="33">
        <f>39810.9079311173</f>
        <v>39810.907931117297</v>
      </c>
      <c r="F28" s="33">
        <f>39427.4243148512</f>
        <v>39427.424314851203</v>
      </c>
      <c r="G28" s="33">
        <f>37709.3922197304</f>
        <v>37709.392219730398</v>
      </c>
      <c r="H28" s="33">
        <f>33587.6639693231</f>
        <v>33587.663969323097</v>
      </c>
      <c r="I28" s="33">
        <f>30549.2761213177</f>
        <v>30549.2761213177</v>
      </c>
      <c r="J28" s="33">
        <f>26547.5690686254</f>
        <v>26547.569068625398</v>
      </c>
      <c r="L28" s="38"/>
      <c r="N28" s="42"/>
    </row>
    <row r="29" spans="1:14" x14ac:dyDescent="0.25">
      <c r="A29" s="42" t="str">
        <f>'Population Definitions'!$A$4</f>
        <v>Children 0-5</v>
      </c>
      <c r="B29" s="42" t="s">
        <v>13</v>
      </c>
      <c r="C29" s="38" t="str">
        <f>IF(SUMPRODUCT(--(E29:T29&lt;&gt;""))=0,C19/4,"N.A.")</f>
        <v>N.A.</v>
      </c>
      <c r="D29" s="42" t="s">
        <v>15</v>
      </c>
      <c r="E29" s="33">
        <f>600847.439170005</f>
        <v>600847.43917000503</v>
      </c>
      <c r="F29" s="33">
        <f>534852.296295991</f>
        <v>534852.29629599105</v>
      </c>
      <c r="G29" s="33">
        <f>459454.103293731</f>
        <v>459454.10329373099</v>
      </c>
      <c r="H29" s="33">
        <f>438277.111985984</f>
        <v>438277.11198598403</v>
      </c>
      <c r="I29" s="33">
        <f>414415.873408004</f>
        <v>414415.873408004</v>
      </c>
      <c r="J29" s="33">
        <f>369367.712064</f>
        <v>369367.71206400002</v>
      </c>
      <c r="L29" s="38"/>
      <c r="N29" s="42"/>
    </row>
    <row r="31" spans="1:14" x14ac:dyDescent="0.25">
      <c r="L31" s="38"/>
    </row>
  </sheetData>
  <dataValidations disablePrompts="1" count="2">
    <dataValidation type="list" showInputMessage="1" showErrorMessage="1" sqref="B22:B24 B17:B19 B12:B14 B7:B9 B2:B4">
      <formula1>"Fraction,Number"</formula1>
    </dataValidation>
    <dataValidation type="list" showInputMessage="1" showErrorMessage="1" sqref="B27:B29">
      <formula1>"Number"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workbookViewId="0">
      <selection activeCell="M1" sqref="M1:M13"/>
    </sheetView>
  </sheetViews>
  <sheetFormatPr defaultRowHeight="15" x14ac:dyDescent="0.25"/>
  <cols>
    <col min="1" max="1" width="60.7109375" customWidth="1"/>
    <col min="2" max="3" width="10.7109375" customWidth="1"/>
    <col min="5" max="10" width="15.28515625" bestFit="1" customWidth="1"/>
  </cols>
  <sheetData>
    <row r="1" spans="1:13" x14ac:dyDescent="0.25">
      <c r="A1" s="20" t="s">
        <v>16</v>
      </c>
      <c r="B1" s="5" t="s">
        <v>7</v>
      </c>
      <c r="C1" s="5" t="s">
        <v>8</v>
      </c>
      <c r="E1" s="5">
        <v>2000</v>
      </c>
      <c r="F1" s="5">
        <v>2365</v>
      </c>
      <c r="G1" s="5">
        <v>2730</v>
      </c>
      <c r="H1" s="5">
        <v>3095</v>
      </c>
      <c r="I1" s="5">
        <v>3460</v>
      </c>
      <c r="J1" s="5">
        <v>3825</v>
      </c>
    </row>
    <row r="2" spans="1:13" x14ac:dyDescent="0.25">
      <c r="A2" t="str">
        <f>'Population Definitions'!$A$2</f>
        <v>General Population</v>
      </c>
      <c r="B2" t="s">
        <v>13</v>
      </c>
      <c r="C2" s="33">
        <v>1604960.9346233434</v>
      </c>
      <c r="D2" t="s">
        <v>15</v>
      </c>
      <c r="E2" s="33"/>
      <c r="F2" s="33"/>
      <c r="G2" s="33"/>
      <c r="H2" s="33"/>
      <c r="I2" s="33"/>
      <c r="J2" s="33"/>
    </row>
    <row r="3" spans="1:13" x14ac:dyDescent="0.25">
      <c r="A3" t="str">
        <f>'Population Definitions'!$A$3</f>
        <v>Pregnant Women</v>
      </c>
      <c r="B3" t="s">
        <v>13</v>
      </c>
      <c r="C3" s="33">
        <v>37231.828167435597</v>
      </c>
      <c r="D3" t="s">
        <v>15</v>
      </c>
      <c r="E3" s="33"/>
      <c r="F3" s="33"/>
      <c r="G3" s="33"/>
      <c r="H3" s="33"/>
      <c r="I3" s="33"/>
      <c r="J3" s="33"/>
    </row>
    <row r="4" spans="1:13" x14ac:dyDescent="0.25">
      <c r="A4" t="str">
        <f>'Population Definitions'!$A$4</f>
        <v>Children 0-5</v>
      </c>
      <c r="B4" t="s">
        <v>13</v>
      </c>
      <c r="C4" s="33">
        <v>390224.02284137328</v>
      </c>
      <c r="D4" t="s">
        <v>15</v>
      </c>
      <c r="E4" s="33"/>
      <c r="F4" s="33"/>
      <c r="G4" s="33"/>
      <c r="H4" s="33"/>
      <c r="I4" s="33"/>
      <c r="J4" s="33"/>
    </row>
    <row r="6" spans="1:13" x14ac:dyDescent="0.25">
      <c r="A6" s="20" t="s">
        <v>17</v>
      </c>
      <c r="B6" s="7" t="s">
        <v>7</v>
      </c>
      <c r="C6" s="7" t="s">
        <v>8</v>
      </c>
      <c r="D6" s="6"/>
      <c r="E6" s="7">
        <v>2000</v>
      </c>
      <c r="F6" s="7">
        <v>2365</v>
      </c>
      <c r="G6" s="7">
        <v>2730</v>
      </c>
      <c r="H6" s="7">
        <v>3095</v>
      </c>
      <c r="I6" s="7">
        <v>3460</v>
      </c>
      <c r="J6" s="7">
        <v>3825</v>
      </c>
    </row>
    <row r="7" spans="1:13" x14ac:dyDescent="0.25">
      <c r="A7" t="str">
        <f>'Population Definitions'!$A$2</f>
        <v>General Population</v>
      </c>
      <c r="B7" t="s">
        <v>13</v>
      </c>
      <c r="C7" s="38">
        <f>IF(SUMPRODUCT(--(E7:T7&lt;&gt;""))=0,C2/4,"N.A.")</f>
        <v>401240.23365583585</v>
      </c>
      <c r="D7" t="s">
        <v>15</v>
      </c>
      <c r="E7" s="38"/>
      <c r="F7" s="38"/>
      <c r="G7" s="38"/>
      <c r="H7" s="38"/>
      <c r="I7" s="38"/>
      <c r="J7" s="38"/>
    </row>
    <row r="8" spans="1:13" x14ac:dyDescent="0.25">
      <c r="A8" t="str">
        <f>'Population Definitions'!$A$3</f>
        <v>Pregnant Women</v>
      </c>
      <c r="B8" t="s">
        <v>13</v>
      </c>
      <c r="C8" s="38">
        <f>IF(SUMPRODUCT(--(E8:T8&lt;&gt;""))=0,C3/4,"N.A.")</f>
        <v>9307.9570418588992</v>
      </c>
      <c r="D8" t="s">
        <v>15</v>
      </c>
      <c r="E8" s="38"/>
      <c r="F8" s="38"/>
      <c r="G8" s="38"/>
      <c r="H8" s="38"/>
      <c r="I8" s="38"/>
      <c r="J8" s="38"/>
    </row>
    <row r="9" spans="1:13" x14ac:dyDescent="0.25">
      <c r="A9" t="str">
        <f>'Population Definitions'!$A$4</f>
        <v>Children 0-5</v>
      </c>
      <c r="B9" t="s">
        <v>13</v>
      </c>
      <c r="C9" s="38">
        <f>IF(SUMPRODUCT(--(E9:T9&lt;&gt;""))=0,C4/4,"N.A.")</f>
        <v>97556.005710343321</v>
      </c>
      <c r="D9" t="s">
        <v>15</v>
      </c>
      <c r="E9" s="38"/>
      <c r="F9" s="38"/>
      <c r="G9" s="38"/>
      <c r="H9" s="38"/>
      <c r="I9" s="38"/>
      <c r="J9" s="38"/>
    </row>
    <row r="10" spans="1:13" x14ac:dyDescent="0.25">
      <c r="M10" s="38"/>
    </row>
    <row r="11" spans="1:13" x14ac:dyDescent="0.25">
      <c r="A11" s="20" t="s">
        <v>18</v>
      </c>
      <c r="B11" s="9" t="s">
        <v>7</v>
      </c>
      <c r="C11" s="9" t="s">
        <v>8</v>
      </c>
      <c r="D11" s="8"/>
      <c r="E11" s="9">
        <v>2000</v>
      </c>
      <c r="F11" s="9">
        <v>2365</v>
      </c>
      <c r="G11" s="9">
        <v>2730</v>
      </c>
      <c r="H11" s="9">
        <v>3095</v>
      </c>
      <c r="I11" s="9">
        <v>3460</v>
      </c>
      <c r="J11" s="9">
        <v>3825</v>
      </c>
    </row>
    <row r="12" spans="1:13" x14ac:dyDescent="0.25">
      <c r="A12" t="str">
        <f>'Population Definitions'!$A$2</f>
        <v>General Population</v>
      </c>
      <c r="B12" t="s">
        <v>13</v>
      </c>
      <c r="C12" s="38">
        <f>IF(SUMPRODUCT(--(E12:T12&lt;&gt;""))=0,C2/4,"N.A.")</f>
        <v>401240.23365583585</v>
      </c>
      <c r="D12" t="s">
        <v>15</v>
      </c>
      <c r="E12" s="42"/>
      <c r="F12" s="42"/>
      <c r="G12" s="42"/>
      <c r="H12" s="42"/>
      <c r="I12" s="42"/>
      <c r="J12" s="42"/>
    </row>
    <row r="13" spans="1:13" x14ac:dyDescent="0.25">
      <c r="A13" t="str">
        <f>'Population Definitions'!$A$3</f>
        <v>Pregnant Women</v>
      </c>
      <c r="B13" t="s">
        <v>13</v>
      </c>
      <c r="C13" s="38">
        <f>IF(SUMPRODUCT(--(E13:T13&lt;&gt;""))=0,C3/4,"N.A.")</f>
        <v>9307.9570418588992</v>
      </c>
      <c r="D13" t="s">
        <v>15</v>
      </c>
      <c r="E13" s="42"/>
      <c r="F13" s="42"/>
      <c r="G13" s="42"/>
      <c r="H13" s="42"/>
      <c r="I13" s="42"/>
      <c r="J13" s="42"/>
    </row>
    <row r="14" spans="1:13" x14ac:dyDescent="0.25">
      <c r="A14" t="str">
        <f>'Population Definitions'!$A$4</f>
        <v>Children 0-5</v>
      </c>
      <c r="B14" t="s">
        <v>13</v>
      </c>
      <c r="C14" s="38">
        <f>IF(SUMPRODUCT(--(E14:T14&lt;&gt;""))=0,C4/4,"N.A.")</f>
        <v>97556.005710343321</v>
      </c>
      <c r="D14" t="s">
        <v>15</v>
      </c>
      <c r="E14" s="42"/>
      <c r="F14" s="42"/>
      <c r="G14" s="42"/>
      <c r="H14" s="42"/>
      <c r="I14" s="42"/>
      <c r="J14" s="42"/>
    </row>
    <row r="16" spans="1:13" x14ac:dyDescent="0.25">
      <c r="A16" s="20" t="s">
        <v>19</v>
      </c>
      <c r="B16" s="11" t="s">
        <v>7</v>
      </c>
      <c r="C16" s="11" t="s">
        <v>8</v>
      </c>
      <c r="D16" s="10"/>
      <c r="E16" s="11">
        <v>2000</v>
      </c>
      <c r="F16" s="11">
        <v>2365</v>
      </c>
      <c r="G16" s="11">
        <v>2730</v>
      </c>
      <c r="H16" s="11">
        <v>3095</v>
      </c>
      <c r="I16" s="11">
        <v>3460</v>
      </c>
      <c r="J16" s="11">
        <v>3825</v>
      </c>
    </row>
    <row r="17" spans="1:10" x14ac:dyDescent="0.25">
      <c r="A17" t="str">
        <f>'Population Definitions'!$A$2</f>
        <v>General Population</v>
      </c>
      <c r="B17" t="s">
        <v>13</v>
      </c>
      <c r="C17" s="38">
        <f>IF(SUMPRODUCT(--(E17:T17&lt;&gt;""))=0,C2/4,"N.A.")</f>
        <v>401240.23365583585</v>
      </c>
      <c r="D17" t="s">
        <v>15</v>
      </c>
      <c r="E17" s="38"/>
      <c r="F17" s="38"/>
      <c r="G17" s="38"/>
      <c r="H17" s="38"/>
      <c r="I17" s="38"/>
      <c r="J17" s="38"/>
    </row>
    <row r="18" spans="1:10" x14ac:dyDescent="0.25">
      <c r="A18" t="str">
        <f>'Population Definitions'!$A$3</f>
        <v>Pregnant Women</v>
      </c>
      <c r="B18" t="s">
        <v>13</v>
      </c>
      <c r="C18" s="38">
        <f>IF(SUMPRODUCT(--(E18:T18&lt;&gt;""))=0,C3/4,"N.A.")</f>
        <v>9307.9570418588992</v>
      </c>
      <c r="D18" t="s">
        <v>15</v>
      </c>
      <c r="E18" s="38"/>
      <c r="F18" s="38"/>
      <c r="G18" s="38"/>
      <c r="H18" s="38"/>
      <c r="I18" s="38"/>
      <c r="J18" s="38"/>
    </row>
    <row r="19" spans="1:10" x14ac:dyDescent="0.25">
      <c r="A19" t="str">
        <f>'Population Definitions'!$A$4</f>
        <v>Children 0-5</v>
      </c>
      <c r="B19" t="s">
        <v>13</v>
      </c>
      <c r="C19" s="38">
        <f>IF(SUMPRODUCT(--(E19:T19&lt;&gt;""))=0,C4/4,"N.A.")</f>
        <v>97556.005710343321</v>
      </c>
      <c r="D19" t="s">
        <v>15</v>
      </c>
      <c r="E19" s="38"/>
      <c r="F19" s="38"/>
      <c r="G19" s="38"/>
      <c r="H19" s="38"/>
      <c r="I19" s="38"/>
      <c r="J19" s="38"/>
    </row>
    <row r="21" spans="1:10" x14ac:dyDescent="0.25">
      <c r="A21" s="20" t="s">
        <v>20</v>
      </c>
      <c r="B21" s="13" t="s">
        <v>7</v>
      </c>
      <c r="C21" s="13" t="s">
        <v>8</v>
      </c>
      <c r="D21" s="12"/>
      <c r="E21" s="13">
        <v>2000</v>
      </c>
      <c r="F21" s="13">
        <v>2365</v>
      </c>
      <c r="G21" s="13">
        <v>2730</v>
      </c>
      <c r="H21" s="13">
        <v>3095</v>
      </c>
      <c r="I21" s="13">
        <v>3460</v>
      </c>
      <c r="J21" s="13">
        <v>3825</v>
      </c>
    </row>
    <row r="22" spans="1:10" x14ac:dyDescent="0.25">
      <c r="A22" t="str">
        <f>'Population Definitions'!$A$2</f>
        <v>General Population</v>
      </c>
      <c r="B22" t="s">
        <v>13</v>
      </c>
      <c r="C22" t="str">
        <f>IF(SUMPRODUCT(--(E22:T22&lt;&gt;""))=0,0,"N.A.")</f>
        <v>N.A.</v>
      </c>
      <c r="D22" t="s">
        <v>15</v>
      </c>
      <c r="E22" s="22">
        <v>0.27666001291370002</v>
      </c>
      <c r="F22" s="22">
        <v>0.30393936289990975</v>
      </c>
      <c r="G22" s="22">
        <v>0.32182419524519634</v>
      </c>
      <c r="H22" s="22">
        <v>0.30755076434614415</v>
      </c>
      <c r="I22" s="22">
        <v>0.26886498899946742</v>
      </c>
      <c r="J22" s="22">
        <v>0.26889999999999997</v>
      </c>
    </row>
    <row r="23" spans="1:10" x14ac:dyDescent="0.25">
      <c r="A23" t="str">
        <f>'Population Definitions'!$A$3</f>
        <v>Pregnant Women</v>
      </c>
      <c r="B23" t="s">
        <v>13</v>
      </c>
      <c r="C23" t="str">
        <f>IF(SUMPRODUCT(--(E23:T23&lt;&gt;""))=0,0,"N.A.")</f>
        <v>N.A.</v>
      </c>
      <c r="D23" t="s">
        <v>15</v>
      </c>
      <c r="E23" s="22">
        <v>0.42770833333333336</v>
      </c>
      <c r="F23" s="22">
        <v>0.41506944444444449</v>
      </c>
      <c r="G23" s="22">
        <v>0.38916666666666666</v>
      </c>
      <c r="H23" s="22">
        <v>0.35972222222222222</v>
      </c>
      <c r="I23" s="22">
        <v>0.30388888888888888</v>
      </c>
      <c r="J23" s="22">
        <v>0.2311111111111111</v>
      </c>
    </row>
    <row r="24" spans="1:10" x14ac:dyDescent="0.25">
      <c r="A24" t="str">
        <f>'Population Definitions'!$A$4</f>
        <v>Children 0-5</v>
      </c>
      <c r="B24" t="s">
        <v>13</v>
      </c>
      <c r="C24" t="str">
        <f>IF(SUMPRODUCT(--(E24:T24&lt;&gt;""))=0,0,"N.A.")</f>
        <v>N.A.</v>
      </c>
      <c r="D24" t="s">
        <v>15</v>
      </c>
      <c r="E24" s="22">
        <v>0.6159</v>
      </c>
      <c r="F24" s="22">
        <v>0.59770000000000001</v>
      </c>
      <c r="G24" s="22">
        <v>0.56040000000000001</v>
      </c>
      <c r="H24" s="22">
        <v>0.51800000000000002</v>
      </c>
      <c r="I24" s="22">
        <v>0.43759999999999999</v>
      </c>
      <c r="J24" s="22">
        <v>0.33279999999999998</v>
      </c>
    </row>
    <row r="26" spans="1:10" x14ac:dyDescent="0.25">
      <c r="A26" s="20" t="s">
        <v>21</v>
      </c>
      <c r="B26" s="15" t="s">
        <v>7</v>
      </c>
      <c r="C26" s="15" t="s">
        <v>8</v>
      </c>
      <c r="D26" s="14"/>
      <c r="E26" s="15">
        <v>2000</v>
      </c>
      <c r="F26" s="15">
        <v>2365</v>
      </c>
      <c r="G26" s="15">
        <v>2730</v>
      </c>
      <c r="H26" s="15">
        <v>3095</v>
      </c>
      <c r="I26" s="15">
        <v>3460</v>
      </c>
      <c r="J26" s="15">
        <v>3825</v>
      </c>
    </row>
    <row r="27" spans="1:10" x14ac:dyDescent="0.25">
      <c r="A27" t="str">
        <f>'Population Definitions'!$A$2</f>
        <v>General Population</v>
      </c>
      <c r="B27" t="s">
        <v>13</v>
      </c>
      <c r="C27">
        <f>IF(SUMPRODUCT(--(E27:T27&lt;&gt;""))=0,SUM(C$2:C$4)*100,"N.A.")</f>
        <v>203241678.56321523</v>
      </c>
      <c r="D27" t="s">
        <v>15</v>
      </c>
      <c r="E27" s="36"/>
      <c r="F27" s="36"/>
      <c r="G27" s="36"/>
      <c r="H27" s="36"/>
      <c r="I27" s="36"/>
      <c r="J27" s="36"/>
    </row>
    <row r="28" spans="1:10" x14ac:dyDescent="0.25">
      <c r="A28" t="str">
        <f>'Population Definitions'!$A$3</f>
        <v>Pregnant Women</v>
      </c>
      <c r="B28" t="s">
        <v>13</v>
      </c>
      <c r="C28" s="42">
        <f t="shared" ref="C28:C29" si="0">IF(SUMPRODUCT(--(E28:T28&lt;&gt;""))=0,SUM(C$2:C$4)*100,"N.A.")</f>
        <v>203241678.56321523</v>
      </c>
      <c r="D28" t="s">
        <v>15</v>
      </c>
      <c r="E28" s="36"/>
      <c r="F28" s="36"/>
      <c r="G28" s="36"/>
      <c r="H28" s="36"/>
      <c r="I28" s="36"/>
      <c r="J28" s="36"/>
    </row>
    <row r="29" spans="1:10" x14ac:dyDescent="0.25">
      <c r="A29" t="str">
        <f>'Population Definitions'!$A$4</f>
        <v>Children 0-5</v>
      </c>
      <c r="B29" t="s">
        <v>13</v>
      </c>
      <c r="C29" s="42">
        <f t="shared" si="0"/>
        <v>203241678.56321523</v>
      </c>
      <c r="D29" t="s">
        <v>15</v>
      </c>
      <c r="E29" s="36"/>
      <c r="F29" s="36"/>
      <c r="G29" s="36"/>
      <c r="H29" s="36"/>
      <c r="I29" s="36"/>
      <c r="J29" s="36"/>
    </row>
    <row r="31" spans="1:10" x14ac:dyDescent="0.25">
      <c r="A31" s="20" t="s">
        <v>22</v>
      </c>
      <c r="B31" s="17" t="s">
        <v>7</v>
      </c>
      <c r="C31" s="17" t="s">
        <v>8</v>
      </c>
      <c r="D31" s="16"/>
      <c r="E31" s="17">
        <v>2000</v>
      </c>
      <c r="F31" s="17">
        <v>2365</v>
      </c>
      <c r="G31" s="17">
        <v>2730</v>
      </c>
      <c r="H31" s="17">
        <v>3095</v>
      </c>
      <c r="I31" s="17">
        <v>3460</v>
      </c>
      <c r="J31" s="17">
        <v>3825</v>
      </c>
    </row>
    <row r="32" spans="1:10" x14ac:dyDescent="0.25">
      <c r="A32" t="str">
        <f>'Population Definitions'!$A$2</f>
        <v>General Population</v>
      </c>
      <c r="B32" t="s">
        <v>13</v>
      </c>
      <c r="C32" s="38">
        <f>IF(SUMPRODUCT(--(E32:T32&lt;&gt;""))=0,C27/3,"N.A.")</f>
        <v>67747226.187738404</v>
      </c>
      <c r="D32" t="s">
        <v>15</v>
      </c>
      <c r="E32" s="37"/>
      <c r="F32" s="37"/>
      <c r="G32" s="37"/>
      <c r="H32" s="37"/>
      <c r="I32" s="37"/>
      <c r="J32" s="37"/>
    </row>
    <row r="33" spans="1:10" x14ac:dyDescent="0.25">
      <c r="A33" t="str">
        <f>'Population Definitions'!$A$3</f>
        <v>Pregnant Women</v>
      </c>
      <c r="B33" t="s">
        <v>13</v>
      </c>
      <c r="C33" s="38">
        <f t="shared" ref="C33:C34" si="1">IF(SUMPRODUCT(--(E33:T33&lt;&gt;""))=0,C28/3,"N.A.")</f>
        <v>67747226.187738404</v>
      </c>
      <c r="D33" t="s">
        <v>15</v>
      </c>
      <c r="E33" s="37"/>
      <c r="F33" s="37"/>
      <c r="G33" s="37"/>
      <c r="H33" s="37"/>
      <c r="I33" s="37"/>
      <c r="J33" s="37"/>
    </row>
    <row r="34" spans="1:10" x14ac:dyDescent="0.25">
      <c r="A34" t="str">
        <f>'Population Definitions'!$A$4</f>
        <v>Children 0-5</v>
      </c>
      <c r="B34" t="s">
        <v>13</v>
      </c>
      <c r="C34" s="38">
        <f t="shared" si="1"/>
        <v>67747226.187738404</v>
      </c>
      <c r="D34" t="s">
        <v>15</v>
      </c>
      <c r="E34" s="37"/>
      <c r="F34" s="37"/>
      <c r="G34" s="37"/>
      <c r="H34" s="37"/>
      <c r="I34" s="37"/>
      <c r="J34" s="37"/>
    </row>
    <row r="36" spans="1:10" x14ac:dyDescent="0.25">
      <c r="A36" s="20" t="s">
        <v>23</v>
      </c>
      <c r="B36" s="19" t="s">
        <v>7</v>
      </c>
      <c r="C36" s="19" t="s">
        <v>8</v>
      </c>
      <c r="D36" s="18"/>
      <c r="E36" s="19">
        <v>2000</v>
      </c>
      <c r="F36" s="19">
        <v>2365</v>
      </c>
      <c r="G36" s="19">
        <v>2730</v>
      </c>
      <c r="H36" s="19">
        <v>3095</v>
      </c>
      <c r="I36" s="19">
        <v>3460</v>
      </c>
      <c r="J36" s="19">
        <v>3825</v>
      </c>
    </row>
    <row r="37" spans="1:10" x14ac:dyDescent="0.25">
      <c r="A37" t="str">
        <f>'Population Definitions'!$A$2</f>
        <v>General Population</v>
      </c>
      <c r="B37" t="s">
        <v>13</v>
      </c>
      <c r="C37" s="38">
        <f>IF(SUMPRODUCT(--(E37:T37&lt;&gt;""))=0,C27/3,"N.A.")</f>
        <v>67747226.187738404</v>
      </c>
      <c r="D37" t="s">
        <v>15</v>
      </c>
      <c r="F37" s="36"/>
      <c r="G37" s="36"/>
      <c r="H37" s="36"/>
      <c r="I37" s="36"/>
      <c r="J37" s="36"/>
    </row>
    <row r="38" spans="1:10" x14ac:dyDescent="0.25">
      <c r="A38" t="str">
        <f>'Population Definitions'!$A$3</f>
        <v>Pregnant Women</v>
      </c>
      <c r="B38" t="s">
        <v>13</v>
      </c>
      <c r="C38" s="38">
        <f t="shared" ref="C38:C39" si="2">IF(SUMPRODUCT(--(E38:T38&lt;&gt;""))=0,C28/3,"N.A.")</f>
        <v>67747226.187738404</v>
      </c>
      <c r="D38" t="s">
        <v>15</v>
      </c>
      <c r="E38" s="36"/>
      <c r="F38" s="36"/>
      <c r="G38" s="36"/>
      <c r="H38" s="36"/>
      <c r="I38" s="36"/>
      <c r="J38" s="36"/>
    </row>
    <row r="39" spans="1:10" x14ac:dyDescent="0.25">
      <c r="A39" t="str">
        <f>'Population Definitions'!$A$4</f>
        <v>Children 0-5</v>
      </c>
      <c r="B39" t="s">
        <v>13</v>
      </c>
      <c r="C39" s="38">
        <f t="shared" si="2"/>
        <v>67747226.187738404</v>
      </c>
      <c r="D39" t="s">
        <v>15</v>
      </c>
      <c r="E39" s="36"/>
      <c r="F39" s="36"/>
      <c r="G39" s="36"/>
      <c r="H39" s="36"/>
      <c r="I39" s="36"/>
      <c r="J39" s="36"/>
    </row>
    <row r="41" spans="1:10" x14ac:dyDescent="0.25">
      <c r="A41" s="43" t="s">
        <v>44</v>
      </c>
      <c r="B41" s="43" t="s">
        <v>7</v>
      </c>
      <c r="C41" s="43" t="s">
        <v>8</v>
      </c>
      <c r="D41" s="43"/>
      <c r="E41" s="43">
        <v>2000</v>
      </c>
      <c r="F41" s="43">
        <v>2365</v>
      </c>
      <c r="G41" s="43">
        <v>2730</v>
      </c>
      <c r="H41" s="43">
        <v>3095</v>
      </c>
      <c r="I41" s="43">
        <v>3460</v>
      </c>
      <c r="J41" s="43">
        <v>3825</v>
      </c>
    </row>
    <row r="42" spans="1:10" x14ac:dyDescent="0.25">
      <c r="A42" s="42" t="str">
        <f>'Population Definitions'!$A$2</f>
        <v>General Population</v>
      </c>
      <c r="B42" s="42" t="s">
        <v>13</v>
      </c>
      <c r="C42" s="42" t="str">
        <f>IF(SUMPRODUCT(--(E42:T42&lt;&gt;""))=0,0,"N.A.")</f>
        <v>N.A.</v>
      </c>
      <c r="D42" s="42" t="s">
        <v>15</v>
      </c>
      <c r="E42" s="33">
        <v>2158.5601098029733</v>
      </c>
      <c r="F42" s="33">
        <v>2019.7963423944746</v>
      </c>
      <c r="G42" s="33">
        <v>2105.1142020076918</v>
      </c>
      <c r="H42" s="33">
        <v>2001.5050262544607</v>
      </c>
      <c r="I42" s="33">
        <v>2137.5488131618622</v>
      </c>
      <c r="J42" s="33">
        <v>2429.1340838820684</v>
      </c>
    </row>
    <row r="43" spans="1:10" x14ac:dyDescent="0.25">
      <c r="A43" s="42" t="str">
        <f>'Population Definitions'!$A$3</f>
        <v>Pregnant Women</v>
      </c>
      <c r="B43" s="42" t="s">
        <v>13</v>
      </c>
      <c r="C43" s="42" t="str">
        <f>IF(SUMPRODUCT(--(E43:T43&lt;&gt;""))=0,0,"N.A.")</f>
        <v>N.A.</v>
      </c>
      <c r="D43" s="42" t="s">
        <v>15</v>
      </c>
      <c r="E43" s="33">
        <v>25.801656920032872</v>
      </c>
      <c r="F43" s="33">
        <v>61.971441086051243</v>
      </c>
      <c r="G43" s="33">
        <v>63.216122014951878</v>
      </c>
      <c r="H43" s="33">
        <v>60.91531359452582</v>
      </c>
      <c r="I43" s="33">
        <v>73.079676754068657</v>
      </c>
      <c r="J43" s="33">
        <v>83.505378505361193</v>
      </c>
    </row>
    <row r="44" spans="1:10" x14ac:dyDescent="0.25">
      <c r="A44" s="42" t="str">
        <f>'Population Definitions'!$A$4</f>
        <v>Children 0-5</v>
      </c>
      <c r="B44" s="42" t="s">
        <v>13</v>
      </c>
      <c r="C44" s="42" t="str">
        <f>IF(SUMPRODUCT(--(E44:T44&lt;&gt;""))=0,0,"N.A.")</f>
        <v>N.A.</v>
      </c>
      <c r="D44" s="42" t="s">
        <v>15</v>
      </c>
      <c r="E44" s="33">
        <v>24660.207123460586</v>
      </c>
      <c r="F44" s="33">
        <v>19489.849445083968</v>
      </c>
      <c r="G44" s="33">
        <v>17856.727997390197</v>
      </c>
      <c r="H44" s="33">
        <v>18427.94497887016</v>
      </c>
      <c r="I44" s="33">
        <v>17738.438851989602</v>
      </c>
      <c r="J44" s="33">
        <v>20788.920496179002</v>
      </c>
    </row>
  </sheetData>
  <dataValidations count="25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:B44">
      <formula1>"Fraction,Number"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16" workbookViewId="0">
      <selection activeCell="L26" sqref="L26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10" s="21" customFormat="1" x14ac:dyDescent="0.25">
      <c r="A1" s="21" t="s">
        <v>24</v>
      </c>
      <c r="B1" s="21" t="s">
        <v>7</v>
      </c>
      <c r="C1" s="21" t="s">
        <v>8</v>
      </c>
      <c r="E1" s="23">
        <v>2000</v>
      </c>
      <c r="F1" s="23">
        <v>2365</v>
      </c>
      <c r="G1" s="23">
        <v>2730</v>
      </c>
      <c r="H1" s="23">
        <v>3095</v>
      </c>
      <c r="I1" s="23">
        <v>3460</v>
      </c>
      <c r="J1" s="23">
        <v>3825</v>
      </c>
    </row>
    <row r="2" spans="1:10" x14ac:dyDescent="0.25">
      <c r="A2" t="str">
        <f>'Population Definitions'!$A$2</f>
        <v>General Population</v>
      </c>
      <c r="B2" t="s">
        <v>13</v>
      </c>
      <c r="C2">
        <f>IF(SUMPRODUCT(--(E2:T2&lt;&gt;""))=0,6,"N.A.")</f>
        <v>6</v>
      </c>
      <c r="D2" t="s">
        <v>15</v>
      </c>
    </row>
    <row r="3" spans="1:10" x14ac:dyDescent="0.25">
      <c r="A3" t="str">
        <f>'Population Definitions'!$A$3</f>
        <v>Pregnant Women</v>
      </c>
      <c r="B3" t="s">
        <v>13</v>
      </c>
      <c r="C3" s="42">
        <f>IF(SUMPRODUCT(--(E3:T3&lt;&gt;""))=0,19,"N.A.")</f>
        <v>19</v>
      </c>
      <c r="D3" t="s">
        <v>15</v>
      </c>
    </row>
    <row r="4" spans="1:10" x14ac:dyDescent="0.25">
      <c r="A4" t="str">
        <f>'Population Definitions'!$A$4</f>
        <v>Children 0-5</v>
      </c>
      <c r="B4" t="s">
        <v>13</v>
      </c>
      <c r="C4" s="42">
        <f>IF(SUMPRODUCT(--(E4:T4&lt;&gt;""))=0,24,"N.A.")</f>
        <v>24</v>
      </c>
      <c r="D4" t="s">
        <v>15</v>
      </c>
    </row>
    <row r="6" spans="1:10" s="21" customFormat="1" x14ac:dyDescent="0.25">
      <c r="A6" s="21" t="s">
        <v>25</v>
      </c>
      <c r="B6" s="21" t="s">
        <v>7</v>
      </c>
      <c r="C6" s="21" t="s">
        <v>8</v>
      </c>
      <c r="E6" s="24">
        <v>2000</v>
      </c>
      <c r="F6" s="24">
        <v>2365</v>
      </c>
      <c r="G6" s="24">
        <v>2730</v>
      </c>
      <c r="H6" s="24">
        <v>3095</v>
      </c>
      <c r="I6" s="24">
        <v>3460</v>
      </c>
      <c r="J6" s="24">
        <v>3825</v>
      </c>
    </row>
    <row r="7" spans="1:10" x14ac:dyDescent="0.25">
      <c r="A7" t="str">
        <f>'Population Definitions'!$A$2</f>
        <v>General Population</v>
      </c>
      <c r="B7" t="s">
        <v>9</v>
      </c>
      <c r="C7">
        <f>IF(SUMPRODUCT(--(E7:T7&lt;&gt;""))=0,0.05,"N.A.")</f>
        <v>0.05</v>
      </c>
      <c r="D7" t="s">
        <v>15</v>
      </c>
    </row>
    <row r="8" spans="1:10" x14ac:dyDescent="0.25">
      <c r="A8" t="str">
        <f>'Population Definitions'!$A$3</f>
        <v>Pregnant Women</v>
      </c>
      <c r="B8" t="s">
        <v>9</v>
      </c>
      <c r="C8">
        <f>IF(SUMPRODUCT(--(E8:T8&lt;&gt;""))=0,0.05,"N.A.")</f>
        <v>0.05</v>
      </c>
      <c r="D8" t="s">
        <v>15</v>
      </c>
    </row>
    <row r="9" spans="1:10" x14ac:dyDescent="0.25">
      <c r="A9" t="str">
        <f>'Population Definitions'!$A$4</f>
        <v>Children 0-5</v>
      </c>
      <c r="B9" t="s">
        <v>9</v>
      </c>
      <c r="C9">
        <f>IF(SUMPRODUCT(--(E9:T9&lt;&gt;""))=0,0.05,"N.A.")</f>
        <v>0.05</v>
      </c>
      <c r="D9" t="s">
        <v>15</v>
      </c>
    </row>
    <row r="11" spans="1:10" s="21" customFormat="1" x14ac:dyDescent="0.25">
      <c r="A11" s="21" t="s">
        <v>26</v>
      </c>
      <c r="B11" s="21" t="s">
        <v>7</v>
      </c>
      <c r="C11" s="21" t="s">
        <v>8</v>
      </c>
      <c r="E11" s="25">
        <v>2000</v>
      </c>
      <c r="F11" s="25">
        <v>2365</v>
      </c>
      <c r="G11" s="25">
        <v>2730</v>
      </c>
      <c r="H11" s="25">
        <v>3095</v>
      </c>
      <c r="I11" s="25">
        <v>3460</v>
      </c>
      <c r="J11" s="25">
        <v>3825</v>
      </c>
    </row>
    <row r="12" spans="1:10" x14ac:dyDescent="0.25">
      <c r="A12" t="str">
        <f>'Population Definitions'!$A$2</f>
        <v>General Population</v>
      </c>
      <c r="B12" t="s">
        <v>9</v>
      </c>
      <c r="C12">
        <f>IF(SUMPRODUCT(--(E12:T12&lt;&gt;""))=0,0.47,"N.A.")</f>
        <v>0.47</v>
      </c>
      <c r="D12" t="s">
        <v>15</v>
      </c>
    </row>
    <row r="13" spans="1:10" x14ac:dyDescent="0.25">
      <c r="A13" t="str">
        <f>'Population Definitions'!$A$3</f>
        <v>Pregnant Women</v>
      </c>
      <c r="B13" t="s">
        <v>9</v>
      </c>
      <c r="C13">
        <f>IF(SUMPRODUCT(--(E13:T13&lt;&gt;""))=0,0.47,"N.A.")</f>
        <v>0.47</v>
      </c>
      <c r="D13" t="s">
        <v>15</v>
      </c>
    </row>
    <row r="14" spans="1:10" x14ac:dyDescent="0.25">
      <c r="A14" t="str">
        <f>'Population Definitions'!$A$4</f>
        <v>Children 0-5</v>
      </c>
      <c r="B14" t="s">
        <v>9</v>
      </c>
      <c r="C14">
        <f>IF(SUMPRODUCT(--(E14:T14&lt;&gt;""))=0,0.47,"N.A.")</f>
        <v>0.47</v>
      </c>
      <c r="D14" t="s">
        <v>15</v>
      </c>
    </row>
    <row r="16" spans="1:10" s="21" customFormat="1" x14ac:dyDescent="0.25">
      <c r="A16" s="21" t="s">
        <v>27</v>
      </c>
      <c r="B16" s="21" t="s">
        <v>7</v>
      </c>
      <c r="C16" s="21" t="s">
        <v>8</v>
      </c>
      <c r="E16" s="26">
        <v>2000</v>
      </c>
      <c r="F16" s="26">
        <v>2365</v>
      </c>
      <c r="G16" s="26">
        <v>2730</v>
      </c>
      <c r="H16" s="26">
        <v>3095</v>
      </c>
      <c r="I16" s="26">
        <v>3460</v>
      </c>
      <c r="J16" s="26">
        <v>3825</v>
      </c>
    </row>
    <row r="17" spans="1:10" x14ac:dyDescent="0.25">
      <c r="A17" t="str">
        <f>'Population Definitions'!$A$2</f>
        <v>General Population</v>
      </c>
      <c r="B17" t="s">
        <v>9</v>
      </c>
      <c r="C17">
        <f>IF(SUMPRODUCT(--(E17:T17&lt;&gt;""))=0,0.1,"N.A.")</f>
        <v>0.1</v>
      </c>
      <c r="D17" t="s">
        <v>15</v>
      </c>
    </row>
    <row r="18" spans="1:10" x14ac:dyDescent="0.25">
      <c r="A18" t="str">
        <f>'Population Definitions'!$A$3</f>
        <v>Pregnant Women</v>
      </c>
      <c r="B18" t="s">
        <v>9</v>
      </c>
      <c r="C18">
        <f>IF(SUMPRODUCT(--(E18:T18&lt;&gt;""))=0,0.1,"N.A.")</f>
        <v>0.1</v>
      </c>
      <c r="D18" t="s">
        <v>15</v>
      </c>
    </row>
    <row r="19" spans="1:10" x14ac:dyDescent="0.25">
      <c r="A19" t="str">
        <f>'Population Definitions'!$A$4</f>
        <v>Children 0-5</v>
      </c>
      <c r="B19" t="s">
        <v>9</v>
      </c>
      <c r="C19">
        <f>IF(SUMPRODUCT(--(E19:T19&lt;&gt;""))=0,0.1,"N.A.")</f>
        <v>0.1</v>
      </c>
      <c r="D19" t="s">
        <v>15</v>
      </c>
    </row>
    <row r="21" spans="1:10" s="21" customFormat="1" x14ac:dyDescent="0.25">
      <c r="A21" s="21" t="s">
        <v>28</v>
      </c>
      <c r="B21" s="21" t="s">
        <v>7</v>
      </c>
      <c r="C21" s="21" t="s">
        <v>8</v>
      </c>
      <c r="E21" s="27">
        <v>2000</v>
      </c>
      <c r="F21" s="27">
        <v>2365</v>
      </c>
      <c r="G21" s="27">
        <v>2730</v>
      </c>
      <c r="H21" s="27">
        <v>3095</v>
      </c>
      <c r="I21" s="27">
        <v>3460</v>
      </c>
      <c r="J21" s="27">
        <v>3825</v>
      </c>
    </row>
    <row r="22" spans="1:10" x14ac:dyDescent="0.25">
      <c r="A22" t="str">
        <f>'Population Definitions'!$A$2</f>
        <v>General Population</v>
      </c>
      <c r="B22" t="s">
        <v>9</v>
      </c>
      <c r="C22">
        <f>IF(SUMPRODUCT(--(E22:T22&lt;&gt;""))=0,0.07,"N.A.")</f>
        <v>7.0000000000000007E-2</v>
      </c>
      <c r="D22" t="s">
        <v>15</v>
      </c>
    </row>
    <row r="23" spans="1:10" x14ac:dyDescent="0.25">
      <c r="A23" t="str">
        <f>'Population Definitions'!$A$3</f>
        <v>Pregnant Women</v>
      </c>
      <c r="B23" t="s">
        <v>9</v>
      </c>
      <c r="C23">
        <f>IF(SUMPRODUCT(--(E23:T23&lt;&gt;""))=0,0.07,"N.A.")</f>
        <v>7.0000000000000007E-2</v>
      </c>
      <c r="D23" t="s">
        <v>15</v>
      </c>
    </row>
    <row r="24" spans="1:10" x14ac:dyDescent="0.25">
      <c r="A24" t="str">
        <f>'Population Definitions'!$A$4</f>
        <v>Children 0-5</v>
      </c>
      <c r="B24" t="s">
        <v>9</v>
      </c>
      <c r="C24">
        <f>IF(SUMPRODUCT(--(E24:T24&lt;&gt;""))=0,0.07,"N.A.")</f>
        <v>7.0000000000000007E-2</v>
      </c>
      <c r="D24" t="s">
        <v>15</v>
      </c>
    </row>
    <row r="26" spans="1:10" s="21" customFormat="1" x14ac:dyDescent="0.25">
      <c r="A26" s="21" t="s">
        <v>29</v>
      </c>
      <c r="B26" s="21" t="s">
        <v>7</v>
      </c>
      <c r="C26" s="21" t="s">
        <v>8</v>
      </c>
      <c r="E26" s="28">
        <v>2000</v>
      </c>
      <c r="F26" s="28">
        <v>2365</v>
      </c>
      <c r="G26" s="28">
        <v>2730</v>
      </c>
      <c r="H26" s="28">
        <v>3095</v>
      </c>
      <c r="I26" s="28">
        <v>3460</v>
      </c>
      <c r="J26" s="28">
        <v>3825</v>
      </c>
    </row>
    <row r="27" spans="1:10" x14ac:dyDescent="0.25">
      <c r="A27" t="str">
        <f>'Population Definitions'!$A$2</f>
        <v>General Population</v>
      </c>
      <c r="B27" t="s">
        <v>9</v>
      </c>
      <c r="C27">
        <f>IF(SUMPRODUCT(--(E27:T27&lt;&gt;""))=0,0.9,"N.A.")</f>
        <v>0.9</v>
      </c>
      <c r="D27" t="s">
        <v>15</v>
      </c>
    </row>
    <row r="28" spans="1:10" x14ac:dyDescent="0.25">
      <c r="A28" t="str">
        <f>'Population Definitions'!$A$3</f>
        <v>Pregnant Women</v>
      </c>
      <c r="B28" t="s">
        <v>9</v>
      </c>
      <c r="C28" s="42">
        <f t="shared" ref="C28:C29" si="0">IF(SUMPRODUCT(--(E28:T28&lt;&gt;""))=0,0.9,"N.A.")</f>
        <v>0.9</v>
      </c>
      <c r="D28" t="s">
        <v>15</v>
      </c>
    </row>
    <row r="29" spans="1:10" x14ac:dyDescent="0.25">
      <c r="A29" t="str">
        <f>'Population Definitions'!$A$4</f>
        <v>Children 0-5</v>
      </c>
      <c r="B29" t="s">
        <v>9</v>
      </c>
      <c r="C29" s="42">
        <f t="shared" si="0"/>
        <v>0.9</v>
      </c>
      <c r="D29" t="s">
        <v>15</v>
      </c>
    </row>
    <row r="31" spans="1:10" s="21" customFormat="1" x14ac:dyDescent="0.25">
      <c r="A31" s="21" t="s">
        <v>30</v>
      </c>
      <c r="B31" s="21" t="s">
        <v>7</v>
      </c>
      <c r="C31" s="21" t="s">
        <v>8</v>
      </c>
      <c r="E31" s="29">
        <v>2000</v>
      </c>
      <c r="F31" s="29">
        <v>2365</v>
      </c>
      <c r="G31" s="29">
        <v>2730</v>
      </c>
      <c r="H31" s="29">
        <v>3095</v>
      </c>
      <c r="I31" s="29">
        <v>3460</v>
      </c>
      <c r="J31" s="29">
        <v>3825</v>
      </c>
    </row>
    <row r="32" spans="1:10" x14ac:dyDescent="0.25">
      <c r="A32" t="str">
        <f>'Population Definitions'!$A$2</f>
        <v>General Population</v>
      </c>
      <c r="B32" t="s">
        <v>13</v>
      </c>
      <c r="C32" s="38">
        <f>AVERAGE(E32:J32)</f>
        <v>1614.2053304455164</v>
      </c>
      <c r="D32" t="s">
        <v>15</v>
      </c>
      <c r="E32" s="39">
        <f>752772.12389255/365</f>
        <v>2062.3893805275343</v>
      </c>
      <c r="F32" s="33">
        <f>781512.347609678/365</f>
        <v>2141.1297194785702</v>
      </c>
      <c r="G32" s="33">
        <f>794336.704569403/365</f>
        <v>2176.2649440257615</v>
      </c>
      <c r="H32" s="33">
        <f>596279.186297242/365</f>
        <v>1633.6416062938135</v>
      </c>
      <c r="I32" s="33">
        <f>343694.514569197/365</f>
        <v>941.62880703889596</v>
      </c>
      <c r="J32" s="33">
        <f>266514.796737611/365</f>
        <v>730.17752530852329</v>
      </c>
    </row>
    <row r="33" spans="1:10" x14ac:dyDescent="0.25">
      <c r="A33" t="str">
        <f>'Population Definitions'!$A$3</f>
        <v>Pregnant Women</v>
      </c>
      <c r="B33" t="s">
        <v>13</v>
      </c>
      <c r="C33" s="38">
        <f t="shared" ref="C33:C34" si="1">AVERAGE(E33:J33)</f>
        <v>272.06017359949129</v>
      </c>
      <c r="D33" t="s">
        <v>15</v>
      </c>
      <c r="E33" s="40">
        <f>146084.098503934/365</f>
        <v>400.23040686009313</v>
      </c>
      <c r="F33" s="40">
        <f>133403.12334348/365</f>
        <v>365.48800916021918</v>
      </c>
      <c r="G33" s="40">
        <f>122657.193477471/365</f>
        <v>336.04710541772874</v>
      </c>
      <c r="H33" s="40">
        <f>91148.9202700852/365</f>
        <v>249.72306923311015</v>
      </c>
      <c r="I33" s="40">
        <f>52251.7093293057/365</f>
        <v>143.15536802549505</v>
      </c>
      <c r="J33" s="40">
        <f>50266.7352586099/365</f>
        <v>137.71708290030111</v>
      </c>
    </row>
    <row r="34" spans="1:10" x14ac:dyDescent="0.25">
      <c r="A34" t="str">
        <f>'Population Definitions'!$A$4</f>
        <v>Children 0-5</v>
      </c>
      <c r="B34" t="s">
        <v>13</v>
      </c>
      <c r="C34" s="38">
        <f t="shared" si="1"/>
        <v>431.83582439453318</v>
      </c>
      <c r="D34" t="s">
        <v>15</v>
      </c>
      <c r="E34" s="41">
        <f>87346.3780095907/365</f>
        <v>239.30514523175535</v>
      </c>
      <c r="F34" s="41">
        <f>91171.907684958/365</f>
        <v>249.78604845193973</v>
      </c>
      <c r="G34" s="41">
        <f>105831.289267763/365</f>
        <v>289.94873771989865</v>
      </c>
      <c r="H34" s="41">
        <f>175310.600491281/365</f>
        <v>480.30301504460544</v>
      </c>
      <c r="I34" s="41">
        <f>148388.920681478/365</f>
        <v>406.54498816843284</v>
      </c>
      <c r="J34" s="41">
        <f>337671.359288957/365</f>
        <v>925.12701175056725</v>
      </c>
    </row>
    <row r="36" spans="1:10" s="21" customFormat="1" x14ac:dyDescent="0.25">
      <c r="A36" s="21" t="s">
        <v>31</v>
      </c>
      <c r="B36" s="21" t="s">
        <v>7</v>
      </c>
      <c r="C36" s="21" t="s">
        <v>8</v>
      </c>
      <c r="E36" s="30">
        <v>2000</v>
      </c>
      <c r="F36" s="30">
        <v>2365</v>
      </c>
      <c r="G36" s="30">
        <v>2730</v>
      </c>
      <c r="H36" s="30">
        <v>3095</v>
      </c>
      <c r="I36" s="30">
        <v>3460</v>
      </c>
      <c r="J36" s="30">
        <v>3825</v>
      </c>
    </row>
    <row r="37" spans="1:10" x14ac:dyDescent="0.25">
      <c r="A37" t="str">
        <f>'Population Definitions'!$A$2</f>
        <v>General Population</v>
      </c>
      <c r="B37" t="s">
        <v>13</v>
      </c>
      <c r="C37">
        <f>IF(SUMPRODUCT(--(E37:T37&lt;&gt;""))=0,2,"N.A.")</f>
        <v>2</v>
      </c>
      <c r="D37" t="s">
        <v>15</v>
      </c>
    </row>
    <row r="38" spans="1:10" x14ac:dyDescent="0.25">
      <c r="A38" t="str">
        <f>'Population Definitions'!$A$3</f>
        <v>Pregnant Women</v>
      </c>
      <c r="B38" t="s">
        <v>13</v>
      </c>
      <c r="C38" s="42">
        <f t="shared" ref="C38:C39" si="2">IF(SUMPRODUCT(--(E38:T38&lt;&gt;""))=0,2,"N.A.")</f>
        <v>2</v>
      </c>
      <c r="D38" t="s">
        <v>15</v>
      </c>
    </row>
    <row r="39" spans="1:10" x14ac:dyDescent="0.25">
      <c r="A39" t="str">
        <f>'Population Definitions'!$A$4</f>
        <v>Children 0-5</v>
      </c>
      <c r="B39" t="s">
        <v>13</v>
      </c>
      <c r="C39" s="42">
        <f t="shared" si="2"/>
        <v>2</v>
      </c>
      <c r="D39" t="s">
        <v>15</v>
      </c>
    </row>
    <row r="41" spans="1:10" s="21" customFormat="1" x14ac:dyDescent="0.25">
      <c r="A41" s="21" t="s">
        <v>32</v>
      </c>
      <c r="B41" s="21" t="s">
        <v>7</v>
      </c>
      <c r="C41" s="21" t="s">
        <v>8</v>
      </c>
      <c r="E41" s="31">
        <v>2000</v>
      </c>
      <c r="F41" s="31">
        <v>2365</v>
      </c>
      <c r="G41" s="31">
        <v>2730</v>
      </c>
      <c r="H41" s="31">
        <v>3095</v>
      </c>
      <c r="I41" s="31">
        <v>3460</v>
      </c>
      <c r="J41" s="31">
        <v>3825</v>
      </c>
    </row>
    <row r="42" spans="1:10" x14ac:dyDescent="0.25">
      <c r="A42" t="str">
        <f>'Population Definitions'!$A$2</f>
        <v>General Population</v>
      </c>
      <c r="B42" t="s">
        <v>9</v>
      </c>
      <c r="C42">
        <f>IF(SUMPRODUCT(--(E42:T42&lt;&gt;""))=0,0.5,"N.A.")</f>
        <v>0.5</v>
      </c>
      <c r="D42" t="s">
        <v>15</v>
      </c>
    </row>
    <row r="43" spans="1:10" x14ac:dyDescent="0.25">
      <c r="A43" t="str">
        <f>'Population Definitions'!$A$3</f>
        <v>Pregnant Women</v>
      </c>
      <c r="B43" t="s">
        <v>13</v>
      </c>
      <c r="C43" s="42">
        <f>IF(SUMPRODUCT(--(E43:T43&lt;&gt;""))=0,2,"N.A.")</f>
        <v>2</v>
      </c>
      <c r="D43" t="s">
        <v>15</v>
      </c>
    </row>
    <row r="44" spans="1:10" x14ac:dyDescent="0.25">
      <c r="A44" t="str">
        <f>'Population Definitions'!$A$4</f>
        <v>Children 0-5</v>
      </c>
      <c r="B44" t="s">
        <v>13</v>
      </c>
      <c r="C44" s="42">
        <f>IF(SUMPRODUCT(--(E44:T44&lt;&gt;""))=0,2,"N.A.")</f>
        <v>2</v>
      </c>
      <c r="D44" t="s">
        <v>15</v>
      </c>
    </row>
    <row r="46" spans="1:10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</row>
    <row r="48" spans="1:10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</row>
    <row r="49" spans="1:10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</row>
    <row r="50" spans="1:10" x14ac:dyDescent="0.25">
      <c r="B50" s="42"/>
      <c r="C50" s="42"/>
      <c r="D50" s="42"/>
      <c r="E50" s="42"/>
      <c r="F50" s="42"/>
      <c r="G50" s="42"/>
      <c r="H50" s="42"/>
      <c r="I50" s="42"/>
      <c r="J50" s="42"/>
    </row>
  </sheetData>
  <dataValidations count="2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9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 B47">
      <formula1>"Fraction,Number"</formula1>
    </dataValidation>
    <dataValidation type="list" showInputMessage="1" showErrorMessage="1" sqref="B43 B48">
      <formula1>"Fraction,Number"</formula1>
    </dataValidation>
    <dataValidation type="list" showInputMessage="1" showErrorMessage="1" sqref="B44 B49">
      <formula1>"Fraction,Number"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 Definitions</vt:lpstr>
      <vt:lpstr>Population Contacts</vt:lpstr>
      <vt:lpstr>Transfer Definitions</vt:lpstr>
      <vt:lpstr>Transfer Details</vt:lpstr>
      <vt:lpstr>Program Definitions</vt:lpstr>
      <vt:lpstr>Program Details</vt:lpstr>
      <vt:lpstr>Human Malarial Development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Kuschel Christian</cp:lastModifiedBy>
  <dcterms:created xsi:type="dcterms:W3CDTF">2017-08-27T23:47:37Z</dcterms:created>
  <dcterms:modified xsi:type="dcterms:W3CDTF">2017-09-07T23:59:39Z</dcterms:modified>
</cp:coreProperties>
</file>