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yans\Desktop\TeamHW4\"/>
    </mc:Choice>
  </mc:AlternateContent>
  <xr:revisionPtr revIDLastSave="0" documentId="13_ncr:1_{579A6F37-BD57-4022-B8D8-06837AD14DE3}" xr6:coauthVersionLast="47" xr6:coauthVersionMax="47" xr10:uidLastSave="{00000000-0000-0000-0000-000000000000}"/>
  <bookViews>
    <workbookView xWindow="-108" yWindow="-108" windowWidth="23256" windowHeight="12576" xr2:uid="{00000000-000D-0000-FFFF-FFFF00000000}"/>
  </bookViews>
  <sheets>
    <sheet name="EXSUM" sheetId="3" r:id="rId1"/>
    <sheet name="Memo" sheetId="2" r:id="rId2"/>
    <sheet name="FMSA" sheetId="1" r:id="rId3"/>
    <sheet name="Scenarios Comparison" sheetId="4" r:id="rId4"/>
  </sheets>
  <definedNames>
    <definedName name="Company_Name" localSheetId="2">FMSA!$E$8</definedName>
    <definedName name="Days_In_Year" localSheetId="2">FMSA!$M$6</definedName>
    <definedName name="Debt_Amount" localSheetId="2">FMSA!$M$7</definedName>
    <definedName name="Debt_Date" localSheetId="2">FMSA!$I$8</definedName>
    <definedName name="Enterprise_Value" localSheetId="2">FMSA!$E$20</definedName>
    <definedName name="Equity_Value" localSheetId="2">FMSA!$E$14</definedName>
    <definedName name="Hist_Year" localSheetId="2">FMSA!$I$7</definedName>
    <definedName name="_xlnm.Print_Area" localSheetId="0">EXSUM!$A$1:$P$64</definedName>
    <definedName name="_xlnm.Print_Area" localSheetId="2">FMSA!$B$1:$M$187</definedName>
    <definedName name="_xlnm.Print_Area" localSheetId="3">'Scenarios Comparison'!$A:$D</definedName>
    <definedName name="Share_Price" localSheetId="2">FMSA!$E$9</definedName>
    <definedName name="Tax_Rate" localSheetId="2">FMSA!$M$8</definedName>
    <definedName name="Units" localSheetId="2">FMSA!$I$9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9" i="3" l="1"/>
  <c r="G59" i="3"/>
  <c r="H59" i="3"/>
  <c r="G63" i="3"/>
  <c r="F64" i="3"/>
  <c r="G64" i="3"/>
  <c r="H64" i="3"/>
  <c r="I49" i="1" l="1"/>
  <c r="J49" i="1"/>
  <c r="K49" i="1"/>
  <c r="L49" i="1"/>
  <c r="M49" i="1"/>
  <c r="I50" i="1"/>
  <c r="J50" i="1"/>
  <c r="K50" i="1"/>
  <c r="L50" i="1"/>
  <c r="M50" i="1"/>
  <c r="I51" i="1"/>
  <c r="J51" i="1"/>
  <c r="K51" i="1"/>
  <c r="L51" i="1"/>
  <c r="M51" i="1"/>
  <c r="J48" i="1"/>
  <c r="K48" i="1"/>
  <c r="L48" i="1"/>
  <c r="M48" i="1"/>
  <c r="I48" i="1"/>
  <c r="H184" i="1" l="1"/>
  <c r="G184" i="1"/>
  <c r="F184" i="1"/>
  <c r="J183" i="1"/>
  <c r="K183" i="1" s="1"/>
  <c r="L183" i="1" s="1"/>
  <c r="M183" i="1" s="1"/>
  <c r="J181" i="1"/>
  <c r="J180" i="1"/>
  <c r="K180" i="1" s="1"/>
  <c r="L180" i="1" s="1"/>
  <c r="M180" i="1" s="1"/>
  <c r="J179" i="1"/>
  <c r="J178" i="1"/>
  <c r="K178" i="1" s="1"/>
  <c r="J174" i="1"/>
  <c r="K174" i="1" s="1"/>
  <c r="L174" i="1" s="1"/>
  <c r="M174" i="1" s="1"/>
  <c r="G174" i="1"/>
  <c r="J173" i="1"/>
  <c r="K173" i="1" s="1"/>
  <c r="L173" i="1" s="1"/>
  <c r="M173" i="1" s="1"/>
  <c r="J171" i="1"/>
  <c r="K171" i="1" s="1"/>
  <c r="L171" i="1" s="1"/>
  <c r="M171" i="1" s="1"/>
  <c r="J170" i="1"/>
  <c r="K170" i="1" s="1"/>
  <c r="L170" i="1" s="1"/>
  <c r="M170" i="1" s="1"/>
  <c r="H170" i="1"/>
  <c r="H175" i="1" s="1"/>
  <c r="G170" i="1"/>
  <c r="G175" i="1" s="1"/>
  <c r="F170" i="1"/>
  <c r="F175" i="1" s="1"/>
  <c r="J169" i="1"/>
  <c r="K169" i="1" s="1"/>
  <c r="L169" i="1" s="1"/>
  <c r="H165" i="1"/>
  <c r="H164" i="1"/>
  <c r="H163" i="1"/>
  <c r="H162" i="1"/>
  <c r="H161" i="1"/>
  <c r="H160" i="1"/>
  <c r="H159" i="1"/>
  <c r="J157" i="1"/>
  <c r="K157" i="1" s="1"/>
  <c r="L157" i="1" s="1"/>
  <c r="M157" i="1" s="1"/>
  <c r="J156" i="1"/>
  <c r="K156" i="1" s="1"/>
  <c r="L156" i="1" s="1"/>
  <c r="M156" i="1" s="1"/>
  <c r="H155" i="1"/>
  <c r="H139" i="1" s="1"/>
  <c r="G155" i="1"/>
  <c r="F155" i="1"/>
  <c r="H154" i="1"/>
  <c r="H120" i="1" s="1"/>
  <c r="G154" i="1"/>
  <c r="F154" i="1"/>
  <c r="H153" i="1"/>
  <c r="G153" i="1"/>
  <c r="F153" i="1"/>
  <c r="G143" i="1"/>
  <c r="H142" i="1"/>
  <c r="I142" i="1" s="1"/>
  <c r="H140" i="1"/>
  <c r="I140" i="1" s="1"/>
  <c r="H138" i="1"/>
  <c r="I138" i="1" s="1"/>
  <c r="I134" i="1"/>
  <c r="J134" i="1" s="1"/>
  <c r="K134" i="1" s="1"/>
  <c r="L134" i="1" s="1"/>
  <c r="M134" i="1" s="1"/>
  <c r="H129" i="1"/>
  <c r="H135" i="1" s="1"/>
  <c r="G129" i="1"/>
  <c r="G135" i="1" s="1"/>
  <c r="I121" i="1"/>
  <c r="J121" i="1" s="1"/>
  <c r="H119" i="1"/>
  <c r="I119" i="1" s="1"/>
  <c r="J119" i="1" s="1"/>
  <c r="K119" i="1" s="1"/>
  <c r="L119" i="1" s="1"/>
  <c r="M119" i="1" s="1"/>
  <c r="H118" i="1"/>
  <c r="H117" i="1"/>
  <c r="I117" i="1" s="1"/>
  <c r="I113" i="1"/>
  <c r="H112" i="1"/>
  <c r="I112" i="1" s="1"/>
  <c r="J112" i="1" s="1"/>
  <c r="K112" i="1" s="1"/>
  <c r="L112" i="1" s="1"/>
  <c r="M112" i="1" s="1"/>
  <c r="I97" i="1"/>
  <c r="J97" i="1" s="1"/>
  <c r="K97" i="1" s="1"/>
  <c r="L97" i="1" s="1"/>
  <c r="M97" i="1" s="1"/>
  <c r="J90" i="1"/>
  <c r="K90" i="1" s="1"/>
  <c r="L90" i="1" s="1"/>
  <c r="M90" i="1" s="1"/>
  <c r="M84" i="1"/>
  <c r="M154" i="1" s="1"/>
  <c r="L84" i="1"/>
  <c r="L154" i="1" s="1"/>
  <c r="K84" i="1"/>
  <c r="K154" i="1" s="1"/>
  <c r="J84" i="1"/>
  <c r="J154" i="1" s="1"/>
  <c r="I84" i="1"/>
  <c r="I154" i="1" s="1"/>
  <c r="H80" i="1"/>
  <c r="H51" i="1" s="1"/>
  <c r="G80" i="1"/>
  <c r="G51" i="1" s="1"/>
  <c r="F80" i="1"/>
  <c r="F51" i="1" s="1"/>
  <c r="H79" i="1"/>
  <c r="H50" i="1" s="1"/>
  <c r="G79" i="1"/>
  <c r="F79" i="1"/>
  <c r="F50" i="1" s="1"/>
  <c r="H76" i="1"/>
  <c r="H77" i="1" s="1"/>
  <c r="G76" i="1"/>
  <c r="G77" i="1" s="1"/>
  <c r="F76" i="1"/>
  <c r="F77" i="1" s="1"/>
  <c r="I75" i="1"/>
  <c r="I80" i="1" s="1"/>
  <c r="H70" i="1"/>
  <c r="I70" i="1" s="1"/>
  <c r="G70" i="1"/>
  <c r="F70" i="1"/>
  <c r="H68" i="1"/>
  <c r="I68" i="1" s="1"/>
  <c r="G68" i="1"/>
  <c r="H67" i="1"/>
  <c r="I67" i="1" s="1"/>
  <c r="G67" i="1"/>
  <c r="H59" i="1"/>
  <c r="H60" i="1" s="1"/>
  <c r="I60" i="1" s="1"/>
  <c r="G59" i="1"/>
  <c r="G60" i="1" s="1"/>
  <c r="M57" i="1"/>
  <c r="L57" i="1"/>
  <c r="K57" i="1"/>
  <c r="J57" i="1"/>
  <c r="I57" i="1"/>
  <c r="I56" i="1"/>
  <c r="H54" i="1"/>
  <c r="I54" i="1" s="1"/>
  <c r="G54" i="1"/>
  <c r="F54" i="1"/>
  <c r="H53" i="1"/>
  <c r="I53" i="1" s="1"/>
  <c r="G53" i="1"/>
  <c r="F53" i="1"/>
  <c r="H48" i="1"/>
  <c r="G48" i="1"/>
  <c r="F48" i="1"/>
  <c r="M46" i="1"/>
  <c r="L46" i="1"/>
  <c r="K46" i="1"/>
  <c r="J46" i="1"/>
  <c r="I46" i="1"/>
  <c r="M41" i="1"/>
  <c r="L41" i="1"/>
  <c r="K41" i="1"/>
  <c r="J41" i="1"/>
  <c r="I41" i="1"/>
  <c r="I36" i="1"/>
  <c r="F36" i="1"/>
  <c r="M24" i="1"/>
  <c r="L24" i="1"/>
  <c r="K24" i="1"/>
  <c r="K37" i="1" s="1"/>
  <c r="J24" i="1"/>
  <c r="I24" i="1"/>
  <c r="I105" i="1" s="1"/>
  <c r="H24" i="1"/>
  <c r="H73" i="1" s="1"/>
  <c r="G24" i="1"/>
  <c r="G73" i="1" s="1"/>
  <c r="F24" i="1"/>
  <c r="F73" i="1" s="1"/>
  <c r="H23" i="1"/>
  <c r="G23" i="1" s="1"/>
  <c r="F23" i="1" s="1"/>
  <c r="E16" i="1"/>
  <c r="J15" i="1"/>
  <c r="J20" i="1" s="1"/>
  <c r="M12" i="1"/>
  <c r="E12" i="1"/>
  <c r="M11" i="1"/>
  <c r="I120" i="1" l="1"/>
  <c r="E13" i="1"/>
  <c r="E14" i="1" s="1"/>
  <c r="I83" i="1"/>
  <c r="I153" i="1" s="1"/>
  <c r="I85" i="1"/>
  <c r="I155" i="1" s="1"/>
  <c r="I139" i="1" s="1"/>
  <c r="F49" i="1"/>
  <c r="G61" i="1"/>
  <c r="G64" i="1"/>
  <c r="G65" i="1" s="1"/>
  <c r="G49" i="1"/>
  <c r="J75" i="1"/>
  <c r="J76" i="1" s="1"/>
  <c r="G81" i="1"/>
  <c r="G66" i="1" s="1"/>
  <c r="J117" i="1"/>
  <c r="K117" i="1" s="1"/>
  <c r="L117" i="1" s="1"/>
  <c r="M117" i="1" s="1"/>
  <c r="J140" i="1"/>
  <c r="G37" i="1"/>
  <c r="I128" i="1"/>
  <c r="J67" i="1"/>
  <c r="H49" i="1"/>
  <c r="H61" i="1"/>
  <c r="I61" i="1" s="1"/>
  <c r="J61" i="1" s="1"/>
  <c r="H81" i="1"/>
  <c r="H66" i="1" s="1"/>
  <c r="I66" i="1" s="1"/>
  <c r="J66" i="1" s="1"/>
  <c r="G50" i="1"/>
  <c r="H64" i="1"/>
  <c r="H65" i="1" s="1"/>
  <c r="I65" i="1" s="1"/>
  <c r="I64" i="1" s="1"/>
  <c r="F81" i="1"/>
  <c r="F87" i="1" s="1"/>
  <c r="H109" i="1"/>
  <c r="I109" i="1" s="1"/>
  <c r="J109" i="1" s="1"/>
  <c r="K109" i="1" s="1"/>
  <c r="L109" i="1" s="1"/>
  <c r="I59" i="1"/>
  <c r="I110" i="1" s="1"/>
  <c r="J60" i="1"/>
  <c r="L150" i="1"/>
  <c r="L105" i="1"/>
  <c r="L73" i="1"/>
  <c r="I23" i="1"/>
  <c r="I150" i="1"/>
  <c r="I73" i="1"/>
  <c r="M150" i="1"/>
  <c r="M105" i="1"/>
  <c r="M73" i="1"/>
  <c r="H37" i="1"/>
  <c r="L37" i="1"/>
  <c r="J53" i="1"/>
  <c r="J54" i="1"/>
  <c r="I132" i="1"/>
  <c r="J68" i="1"/>
  <c r="J120" i="1"/>
  <c r="K120" i="1" s="1"/>
  <c r="L120" i="1" s="1"/>
  <c r="M120" i="1" s="1"/>
  <c r="M169" i="1"/>
  <c r="K179" i="1"/>
  <c r="L179" i="1" s="1"/>
  <c r="M179" i="1" s="1"/>
  <c r="J138" i="1"/>
  <c r="J142" i="1"/>
  <c r="K142" i="1" s="1"/>
  <c r="L142" i="1" s="1"/>
  <c r="M142" i="1" s="1"/>
  <c r="K181" i="1"/>
  <c r="L181" i="1" s="1"/>
  <c r="M181" i="1" s="1"/>
  <c r="J150" i="1"/>
  <c r="J73" i="1"/>
  <c r="J105" i="1"/>
  <c r="I37" i="1"/>
  <c r="M37" i="1"/>
  <c r="J56" i="1"/>
  <c r="I172" i="1"/>
  <c r="J70" i="1"/>
  <c r="H150" i="1"/>
  <c r="H105" i="1"/>
  <c r="G150" i="1"/>
  <c r="G105" i="1"/>
  <c r="K150" i="1"/>
  <c r="K105" i="1"/>
  <c r="F37" i="1"/>
  <c r="J37" i="1"/>
  <c r="K73" i="1"/>
  <c r="F150" i="1"/>
  <c r="G145" i="1"/>
  <c r="I162" i="1"/>
  <c r="I76" i="1"/>
  <c r="I111" i="1" s="1"/>
  <c r="I79" i="1"/>
  <c r="I81" i="1" s="1"/>
  <c r="J113" i="1"/>
  <c r="I161" i="1"/>
  <c r="K121" i="1"/>
  <c r="K162" i="1" s="1"/>
  <c r="J162" i="1"/>
  <c r="L178" i="1"/>
  <c r="G87" i="1" l="1"/>
  <c r="J77" i="1"/>
  <c r="J79" i="1"/>
  <c r="J80" i="1"/>
  <c r="I127" i="1"/>
  <c r="I165" i="1" s="1"/>
  <c r="F100" i="1"/>
  <c r="F91" i="1"/>
  <c r="F57" i="1" s="1"/>
  <c r="F99" i="1"/>
  <c r="K75" i="1"/>
  <c r="L75" i="1" s="1"/>
  <c r="J65" i="1"/>
  <c r="M109" i="1"/>
  <c r="I77" i="1"/>
  <c r="I87" i="1" s="1"/>
  <c r="I99" i="1" s="1"/>
  <c r="I164" i="1"/>
  <c r="J128" i="1"/>
  <c r="K67" i="1"/>
  <c r="H87" i="1"/>
  <c r="I160" i="1"/>
  <c r="K66" i="1"/>
  <c r="I126" i="1"/>
  <c r="I159" i="1"/>
  <c r="K113" i="1"/>
  <c r="K56" i="1"/>
  <c r="K140" i="1"/>
  <c r="L140" i="1" s="1"/>
  <c r="M140" i="1" s="1"/>
  <c r="K65" i="1"/>
  <c r="J64" i="1"/>
  <c r="J126" i="1" s="1"/>
  <c r="M178" i="1"/>
  <c r="J161" i="1"/>
  <c r="J172" i="1"/>
  <c r="J175" i="1" s="1"/>
  <c r="K70" i="1"/>
  <c r="K138" i="1"/>
  <c r="F94" i="1"/>
  <c r="J132" i="1"/>
  <c r="K68" i="1"/>
  <c r="K54" i="1"/>
  <c r="J83" i="1"/>
  <c r="J153" i="1" s="1"/>
  <c r="G100" i="1"/>
  <c r="G99" i="1"/>
  <c r="G91" i="1"/>
  <c r="J111" i="1"/>
  <c r="J160" i="1" s="1"/>
  <c r="K61" i="1"/>
  <c r="L121" i="1"/>
  <c r="I175" i="1"/>
  <c r="I118" i="1"/>
  <c r="J85" i="1"/>
  <c r="J155" i="1" s="1"/>
  <c r="J139" i="1" s="1"/>
  <c r="K53" i="1"/>
  <c r="I182" i="1"/>
  <c r="J23" i="1"/>
  <c r="K60" i="1"/>
  <c r="J59" i="1"/>
  <c r="J110" i="1" s="1"/>
  <c r="J81" i="1" l="1"/>
  <c r="J127" i="1" s="1"/>
  <c r="J165" i="1" s="1"/>
  <c r="J164" i="1"/>
  <c r="J118" i="1"/>
  <c r="I100" i="1"/>
  <c r="K79" i="1"/>
  <c r="K80" i="1"/>
  <c r="K76" i="1"/>
  <c r="K77" i="1" s="1"/>
  <c r="H100" i="1"/>
  <c r="H99" i="1"/>
  <c r="H91" i="1"/>
  <c r="L79" i="1"/>
  <c r="L76" i="1"/>
  <c r="L77" i="1" s="1"/>
  <c r="M75" i="1"/>
  <c r="L80" i="1"/>
  <c r="L67" i="1"/>
  <c r="K128" i="1"/>
  <c r="K85" i="1"/>
  <c r="K155" i="1" s="1"/>
  <c r="K139" i="1" s="1"/>
  <c r="L53" i="1"/>
  <c r="M121" i="1"/>
  <c r="M162" i="1" s="1"/>
  <c r="G94" i="1"/>
  <c r="G57" i="1"/>
  <c r="K83" i="1"/>
  <c r="K153" i="1" s="1"/>
  <c r="L54" i="1"/>
  <c r="J163" i="1"/>
  <c r="L56" i="1"/>
  <c r="L113" i="1"/>
  <c r="L161" i="1" s="1"/>
  <c r="L66" i="1"/>
  <c r="L60" i="1"/>
  <c r="K59" i="1"/>
  <c r="K110" i="1" s="1"/>
  <c r="K159" i="1" s="1"/>
  <c r="L162" i="1"/>
  <c r="L68" i="1"/>
  <c r="K132" i="1"/>
  <c r="L138" i="1"/>
  <c r="K64" i="1"/>
  <c r="L65" i="1"/>
  <c r="L61" i="1"/>
  <c r="J182" i="1"/>
  <c r="J184" i="1" s="1"/>
  <c r="K23" i="1"/>
  <c r="J159" i="1"/>
  <c r="I184" i="1"/>
  <c r="I133" i="1"/>
  <c r="F96" i="1"/>
  <c r="F31" i="1" s="1"/>
  <c r="F152" i="1"/>
  <c r="F166" i="1" s="1"/>
  <c r="K172" i="1"/>
  <c r="K175" i="1" s="1"/>
  <c r="L70" i="1"/>
  <c r="K161" i="1"/>
  <c r="I129" i="1"/>
  <c r="I163" i="1"/>
  <c r="J129" i="1" l="1"/>
  <c r="J87" i="1"/>
  <c r="J100" i="1" s="1"/>
  <c r="K126" i="1"/>
  <c r="K163" i="1" s="1"/>
  <c r="L81" i="1"/>
  <c r="L127" i="1" s="1"/>
  <c r="K111" i="1"/>
  <c r="K160" i="1" s="1"/>
  <c r="K164" i="1"/>
  <c r="K81" i="1"/>
  <c r="K127" i="1" s="1"/>
  <c r="K165" i="1" s="1"/>
  <c r="I135" i="1"/>
  <c r="L128" i="1"/>
  <c r="M67" i="1"/>
  <c r="M128" i="1" s="1"/>
  <c r="H94" i="1"/>
  <c r="H57" i="1"/>
  <c r="M80" i="1"/>
  <c r="M79" i="1"/>
  <c r="M76" i="1"/>
  <c r="M77" i="1" s="1"/>
  <c r="F101" i="1"/>
  <c r="F30" i="1" s="1"/>
  <c r="F186" i="1"/>
  <c r="M138" i="1"/>
  <c r="M56" i="1"/>
  <c r="L111" i="1"/>
  <c r="M61" i="1"/>
  <c r="M65" i="1"/>
  <c r="M64" i="1" s="1"/>
  <c r="L64" i="1"/>
  <c r="L126" i="1" s="1"/>
  <c r="M113" i="1"/>
  <c r="M161" i="1" s="1"/>
  <c r="L172" i="1"/>
  <c r="L175" i="1" s="1"/>
  <c r="M70" i="1"/>
  <c r="M172" i="1" s="1"/>
  <c r="M175" i="1" s="1"/>
  <c r="K182" i="1"/>
  <c r="K184" i="1" s="1"/>
  <c r="L23" i="1"/>
  <c r="L132" i="1"/>
  <c r="M68" i="1"/>
  <c r="M132" i="1" s="1"/>
  <c r="M60" i="1"/>
  <c r="M59" i="1" s="1"/>
  <c r="M110" i="1" s="1"/>
  <c r="L59" i="1"/>
  <c r="L110" i="1" s="1"/>
  <c r="G152" i="1"/>
  <c r="G166" i="1" s="1"/>
  <c r="G96" i="1"/>
  <c r="G31" i="1" s="1"/>
  <c r="L85" i="1"/>
  <c r="L155" i="1" s="1"/>
  <c r="L139" i="1" s="1"/>
  <c r="M53" i="1"/>
  <c r="M85" i="1" s="1"/>
  <c r="M155" i="1" s="1"/>
  <c r="J133" i="1"/>
  <c r="I89" i="1"/>
  <c r="I91" i="1" s="1"/>
  <c r="K118" i="1"/>
  <c r="M66" i="1"/>
  <c r="L83" i="1"/>
  <c r="M54" i="1"/>
  <c r="M83" i="1" s="1"/>
  <c r="J99" i="1" l="1"/>
  <c r="L160" i="1"/>
  <c r="L164" i="1"/>
  <c r="L165" i="1"/>
  <c r="M111" i="1"/>
  <c r="M160" i="1" s="1"/>
  <c r="K87" i="1"/>
  <c r="K99" i="1" s="1"/>
  <c r="K129" i="1"/>
  <c r="M81" i="1"/>
  <c r="M127" i="1" s="1"/>
  <c r="M165" i="1" s="1"/>
  <c r="H96" i="1"/>
  <c r="H31" i="1" s="1"/>
  <c r="H152" i="1"/>
  <c r="H166" i="1" s="1"/>
  <c r="H141" i="1"/>
  <c r="H143" i="1" s="1"/>
  <c r="H145" i="1" s="1"/>
  <c r="M159" i="1"/>
  <c r="M126" i="1"/>
  <c r="M139" i="1"/>
  <c r="M153" i="1"/>
  <c r="I92" i="1"/>
  <c r="I94" i="1" s="1"/>
  <c r="M164" i="1"/>
  <c r="L159" i="1"/>
  <c r="L153" i="1"/>
  <c r="L118" i="1" s="1"/>
  <c r="L87" i="1"/>
  <c r="K133" i="1"/>
  <c r="K89" i="1"/>
  <c r="G101" i="1"/>
  <c r="G30" i="1" s="1"/>
  <c r="G186" i="1"/>
  <c r="G187" i="1" s="1"/>
  <c r="G108" i="1" s="1"/>
  <c r="L182" i="1"/>
  <c r="L184" i="1" s="1"/>
  <c r="M23" i="1"/>
  <c r="M182" i="1" s="1"/>
  <c r="M184" i="1" s="1"/>
  <c r="J135" i="1"/>
  <c r="L163" i="1"/>
  <c r="L129" i="1"/>
  <c r="J89" i="1"/>
  <c r="J91" i="1" s="1"/>
  <c r="K91" i="1" l="1"/>
  <c r="K92" i="1" s="1"/>
  <c r="K94" i="1" s="1"/>
  <c r="K100" i="1"/>
  <c r="K135" i="1"/>
  <c r="M129" i="1"/>
  <c r="M87" i="1"/>
  <c r="M99" i="1" s="1"/>
  <c r="M163" i="1"/>
  <c r="H101" i="1"/>
  <c r="H30" i="1" s="1"/>
  <c r="H186" i="1"/>
  <c r="H187" i="1" s="1"/>
  <c r="H108" i="1" s="1"/>
  <c r="M118" i="1"/>
  <c r="I96" i="1"/>
  <c r="I31" i="1" s="1"/>
  <c r="I152" i="1"/>
  <c r="I166" i="1" s="1"/>
  <c r="I141" i="1"/>
  <c r="J92" i="1"/>
  <c r="J94" i="1" s="1"/>
  <c r="G114" i="1"/>
  <c r="G122" i="1" s="1"/>
  <c r="L133" i="1"/>
  <c r="L89" i="1" s="1"/>
  <c r="L91" i="1" s="1"/>
  <c r="L99" i="1"/>
  <c r="L100" i="1"/>
  <c r="M100" i="1" l="1"/>
  <c r="K152" i="1"/>
  <c r="K166" i="1" s="1"/>
  <c r="K96" i="1"/>
  <c r="K31" i="1" s="1"/>
  <c r="L92" i="1"/>
  <c r="L94" i="1" s="1"/>
  <c r="J152" i="1"/>
  <c r="J166" i="1" s="1"/>
  <c r="J96" i="1"/>
  <c r="J31" i="1" s="1"/>
  <c r="M133" i="1"/>
  <c r="M135" i="1" s="1"/>
  <c r="L135" i="1"/>
  <c r="J141" i="1"/>
  <c r="I143" i="1"/>
  <c r="I145" i="1" s="1"/>
  <c r="I101" i="1"/>
  <c r="I186" i="1"/>
  <c r="I187" i="1" s="1"/>
  <c r="I108" i="1" s="1"/>
  <c r="G102" i="1"/>
  <c r="G32" i="1" s="1"/>
  <c r="G147" i="1"/>
  <c r="H114" i="1"/>
  <c r="H122" i="1" s="1"/>
  <c r="E15" i="1"/>
  <c r="E20" i="1" s="1"/>
  <c r="I30" i="1" l="1"/>
  <c r="I114" i="1"/>
  <c r="I122" i="1" s="1"/>
  <c r="L152" i="1"/>
  <c r="L166" i="1" s="1"/>
  <c r="L96" i="1"/>
  <c r="L31" i="1" s="1"/>
  <c r="M89" i="1"/>
  <c r="M91" i="1" s="1"/>
  <c r="K28" i="1"/>
  <c r="G28" i="1"/>
  <c r="K27" i="1"/>
  <c r="G27" i="1"/>
  <c r="K26" i="1"/>
  <c r="G26" i="1"/>
  <c r="H28" i="1"/>
  <c r="L26" i="1"/>
  <c r="J28" i="1"/>
  <c r="F28" i="1"/>
  <c r="J27" i="1"/>
  <c r="F27" i="1"/>
  <c r="J26" i="1"/>
  <c r="F26" i="1"/>
  <c r="L28" i="1"/>
  <c r="H27" i="1"/>
  <c r="H26" i="1"/>
  <c r="M28" i="1"/>
  <c r="I28" i="1"/>
  <c r="M27" i="1"/>
  <c r="I27" i="1"/>
  <c r="M26" i="1"/>
  <c r="I26" i="1"/>
  <c r="L27" i="1"/>
  <c r="K141" i="1"/>
  <c r="J143" i="1"/>
  <c r="J145" i="1" s="1"/>
  <c r="H147" i="1"/>
  <c r="H102" i="1"/>
  <c r="H32" i="1" s="1"/>
  <c r="J101" i="1"/>
  <c r="J30" i="1" s="1"/>
  <c r="J186" i="1"/>
  <c r="J187" i="1" s="1"/>
  <c r="J108" i="1" s="1"/>
  <c r="K101" i="1"/>
  <c r="K30" i="1" s="1"/>
  <c r="K186" i="1"/>
  <c r="K187" i="1" l="1"/>
  <c r="K108" i="1" s="1"/>
  <c r="J114" i="1"/>
  <c r="J122" i="1" s="1"/>
  <c r="L141" i="1"/>
  <c r="K143" i="1"/>
  <c r="K145" i="1" s="1"/>
  <c r="L101" i="1"/>
  <c r="L186" i="1"/>
  <c r="M92" i="1"/>
  <c r="M94" i="1" s="1"/>
  <c r="I102" i="1"/>
  <c r="I32" i="1" s="1"/>
  <c r="I147" i="1"/>
  <c r="L30" i="1" l="1"/>
  <c r="M152" i="1"/>
  <c r="M166" i="1" s="1"/>
  <c r="M96" i="1"/>
  <c r="M31" i="1" s="1"/>
  <c r="M141" i="1"/>
  <c r="M143" i="1" s="1"/>
  <c r="M145" i="1" s="1"/>
  <c r="L143" i="1"/>
  <c r="L145" i="1" s="1"/>
  <c r="J147" i="1"/>
  <c r="J102" i="1"/>
  <c r="J32" i="1" s="1"/>
  <c r="K114" i="1"/>
  <c r="K122" i="1" s="1"/>
  <c r="L187" i="1"/>
  <c r="L108" i="1" s="1"/>
  <c r="L114" i="1" l="1"/>
  <c r="L122" i="1" s="1"/>
  <c r="K102" i="1"/>
  <c r="K32" i="1" s="1"/>
  <c r="K147" i="1"/>
  <c r="M101" i="1"/>
  <c r="M186" i="1"/>
  <c r="M187" i="1" s="1"/>
  <c r="M108" i="1" s="1"/>
  <c r="M114" i="1" s="1"/>
  <c r="M122" i="1" s="1"/>
  <c r="M30" i="1" l="1"/>
  <c r="M18" i="1"/>
  <c r="L18" i="1"/>
  <c r="M147" i="1"/>
  <c r="M102" i="1"/>
  <c r="M32" i="1" s="1"/>
  <c r="L147" i="1"/>
  <c r="L102" i="1"/>
  <c r="L3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McDonald</author>
    <author>Michael Nugent</author>
  </authors>
  <commentList>
    <comment ref="K12" authorId="0" shapeId="0" xr:uid="{00000000-0006-0000-0100-000001000000}">
      <text>
        <r>
          <rPr>
            <b/>
            <sz val="9"/>
            <color rgb="FF000000"/>
            <rFont val="Tahoma"/>
            <family val="2"/>
          </rPr>
          <t>Michael McDonald:</t>
        </r>
        <r>
          <rPr>
            <sz val="9"/>
            <color rgb="FF000000"/>
            <rFont val="Tahoma"/>
            <family val="2"/>
          </rPr>
          <t xml:space="preserve">
</t>
        </r>
        <r>
          <rPr>
            <sz val="9"/>
            <color rgb="FF000000"/>
            <rFont val="Tahoma"/>
            <family val="2"/>
          </rPr>
          <t xml:space="preserve">1 = Top Down
</t>
        </r>
        <r>
          <rPr>
            <sz val="9"/>
            <color rgb="FF000000"/>
            <rFont val="Tahoma"/>
            <family val="2"/>
          </rPr>
          <t xml:space="preserve">2 = Bottom Up
</t>
        </r>
        <r>
          <rPr>
            <sz val="9"/>
            <color rgb="FF000000"/>
            <rFont val="Tahoma"/>
            <family val="2"/>
          </rPr>
          <t>3 = CAGR</t>
        </r>
      </text>
    </comment>
    <comment ref="L15" authorId="1" shapeId="0" xr:uid="{00000000-0006-0000-0100-000003000000}">
      <text>
        <r>
          <rPr>
            <b/>
            <sz val="9"/>
            <color rgb="FF000000"/>
            <rFont val="Tahoma"/>
            <family val="2"/>
          </rPr>
          <t>Michael Nugent:</t>
        </r>
        <r>
          <rPr>
            <sz val="9"/>
            <color rgb="FF000000"/>
            <rFont val="Tahoma"/>
            <family val="2"/>
          </rPr>
          <t xml:space="preserve">
</t>
        </r>
        <r>
          <rPr>
            <sz val="10.5"/>
            <color rgb="FF000000"/>
            <rFont val="Tahoma"/>
            <family val="2"/>
          </rPr>
          <t>Use Data Validation here for 1 2 3. (dropdown box)</t>
        </r>
      </text>
    </comment>
    <comment ref="K17" authorId="1" shapeId="0" xr:uid="{00000000-0006-0000-0100-000004000000}">
      <text>
        <r>
          <rPr>
            <b/>
            <sz val="9"/>
            <color rgb="FF000000"/>
            <rFont val="Tahoma"/>
            <family val="2"/>
          </rPr>
          <t>Michael Nugent:</t>
        </r>
        <r>
          <rPr>
            <sz val="9"/>
            <color rgb="FF000000"/>
            <rFont val="Tahoma"/>
            <family val="2"/>
          </rPr>
          <t xml:space="preserve">
</t>
        </r>
        <r>
          <rPr>
            <sz val="9"/>
            <color rgb="FF000000"/>
            <rFont val="Tahoma"/>
            <family val="2"/>
          </rPr>
          <t xml:space="preserve">Comment:
</t>
        </r>
        <r>
          <rPr>
            <sz val="9"/>
            <color rgb="FF000000"/>
            <rFont val="Tahoma"/>
            <family val="2"/>
          </rPr>
          <t>Use the Interest rate in Cell M9 to calculate NPV and IRR. Use Leveraged Free Cash Flow from Row 101.</t>
        </r>
      </text>
    </comment>
  </commentList>
</comments>
</file>

<file path=xl/sharedStrings.xml><?xml version="1.0" encoding="utf-8"?>
<sst xmlns="http://schemas.openxmlformats.org/spreadsheetml/2006/main" count="293" uniqueCount="184">
  <si>
    <t>Scenario Information</t>
  </si>
  <si>
    <t>Scenario 1</t>
  </si>
  <si>
    <t>FY 2018E</t>
  </si>
  <si>
    <t>FY 2019E</t>
  </si>
  <si>
    <t>FY 2020E</t>
  </si>
  <si>
    <t>FY 2021E</t>
  </si>
  <si>
    <t>FY 2022E</t>
  </si>
  <si>
    <t>Revenue Growth %:</t>
  </si>
  <si>
    <t>COGS % Revenue:</t>
  </si>
  <si>
    <t>R&amp;D % Revenue:</t>
  </si>
  <si>
    <t>SG&amp;A % Revenue:</t>
  </si>
  <si>
    <t>Scenario 2</t>
  </si>
  <si>
    <t>Scenario 3</t>
  </si>
  <si>
    <t>Financial Model Scenario Analysis</t>
  </si>
  <si>
    <t>($ in Millions, Except Per Share Amounts in Dollars and Share Counts in Thousands)</t>
  </si>
  <si>
    <t>Assumptions &amp; Valuation Overview</t>
  </si>
  <si>
    <t>Days in Year:</t>
  </si>
  <si>
    <t>Valuation Date:</t>
  </si>
  <si>
    <t>Last Historical Year:</t>
  </si>
  <si>
    <t>Debt Amount:</t>
  </si>
  <si>
    <t>Company Name:</t>
  </si>
  <si>
    <t>Acme Inc.</t>
  </si>
  <si>
    <t>Debt Issue Date:</t>
  </si>
  <si>
    <t>Tax Rate:</t>
  </si>
  <si>
    <t>Share Price:</t>
  </si>
  <si>
    <t>Share Units:</t>
  </si>
  <si>
    <t>Interest Rate:</t>
  </si>
  <si>
    <t>Annual Rate Change:</t>
  </si>
  <si>
    <t>Basic Shares Outstanding:</t>
  </si>
  <si>
    <t>Options Calculations:</t>
  </si>
  <si>
    <t>CAGR</t>
  </si>
  <si>
    <t>Basic Equity Value:</t>
  </si>
  <si>
    <t>Forecast Method</t>
  </si>
  <si>
    <t>Diluted Shares Outstanding:</t>
  </si>
  <si>
    <t>Exercise</t>
  </si>
  <si>
    <t>Diluted Equity Value:</t>
  </si>
  <si>
    <t>Name</t>
  </si>
  <si>
    <t>Number</t>
  </si>
  <si>
    <t>Price</t>
  </si>
  <si>
    <t>Dilution</t>
  </si>
  <si>
    <t>Scenario</t>
  </si>
  <si>
    <t>Less: Cash &amp; Investments</t>
  </si>
  <si>
    <t>Tranche A</t>
  </si>
  <si>
    <t>Plus: Debt</t>
  </si>
  <si>
    <t>Tranche B</t>
  </si>
  <si>
    <t>Plus: Minority Interest</t>
  </si>
  <si>
    <t>Tranche C</t>
  </si>
  <si>
    <t>NPV</t>
  </si>
  <si>
    <t>IRR</t>
  </si>
  <si>
    <t>Plus: Preferred Stock</t>
  </si>
  <si>
    <t>Tranche D</t>
  </si>
  <si>
    <t xml:space="preserve">Scenario </t>
  </si>
  <si>
    <t>Plus: Other Liabilities</t>
  </si>
  <si>
    <t>Tranche E</t>
  </si>
  <si>
    <t>Enterprise Value:</t>
  </si>
  <si>
    <t>Total</t>
  </si>
  <si>
    <t>Historical</t>
  </si>
  <si>
    <t>Projections</t>
  </si>
  <si>
    <t>EV / Revenue:</t>
  </si>
  <si>
    <t>EV / EBIT:</t>
  </si>
  <si>
    <t>EV / EBITDA:</t>
  </si>
  <si>
    <t>Equity Value / FCF:</t>
  </si>
  <si>
    <t>P / E:</t>
  </si>
  <si>
    <t>P / BV:</t>
  </si>
  <si>
    <t>Operating Assumptions</t>
  </si>
  <si>
    <t>Total Market Sales</t>
  </si>
  <si>
    <t>Market Share Growth</t>
  </si>
  <si>
    <t>Order Value Growth</t>
  </si>
  <si>
    <t>Top Down Growth Rate</t>
  </si>
  <si>
    <t>Prospect Traffic Growth</t>
  </si>
  <si>
    <t>Conversion Rate Growth</t>
  </si>
  <si>
    <t>Price Growth</t>
  </si>
  <si>
    <t>Bottom Up Growth Rate</t>
  </si>
  <si>
    <t>Stock-Based Compensation % Revenue:</t>
  </si>
  <si>
    <t>Depreciation &amp; Amortization % Revenue:</t>
  </si>
  <si>
    <t>Effective Cash Interest Rate:</t>
  </si>
  <si>
    <t>Debt Interest Rate:</t>
  </si>
  <si>
    <t>Effective Tax Rate:</t>
  </si>
  <si>
    <t>Accounts Receivable % Revenue:</t>
  </si>
  <si>
    <t>Accounts Receivable Days:</t>
  </si>
  <si>
    <t>Inventory % COGS:</t>
  </si>
  <si>
    <t>Amortization of Intangibles:</t>
  </si>
  <si>
    <t>Accounts Payable % COGS:</t>
  </si>
  <si>
    <t>Accounts Payable Days:</t>
  </si>
  <si>
    <t>Accrued Expenses % Operating Expenses:</t>
  </si>
  <si>
    <t>Short-Term Deferred Revenue % Revenue:</t>
  </si>
  <si>
    <t>Long-Term Deferred Revenue % Revenue:</t>
  </si>
  <si>
    <t>CapEx % Revenue:</t>
  </si>
  <si>
    <t>Income Statement</t>
  </si>
  <si>
    <t>Revenue:</t>
  </si>
  <si>
    <t>Cost of Goods Sold:</t>
  </si>
  <si>
    <t>Gross Profit:</t>
  </si>
  <si>
    <t>Operating Expenses:</t>
  </si>
  <si>
    <t>Research &amp; Development:</t>
  </si>
  <si>
    <t>Selling, General &amp; Administrative:</t>
  </si>
  <si>
    <t>Total Operating Expenses:</t>
  </si>
  <si>
    <t>Depreciation &amp; Amortization of PP&amp;E:</t>
  </si>
  <si>
    <t>Stock-Based Compensation:</t>
  </si>
  <si>
    <t>Operating Income:</t>
  </si>
  <si>
    <t>Interest Income:</t>
  </si>
  <si>
    <t>Interest Expense:</t>
  </si>
  <si>
    <t>Other Income &amp; Expense:</t>
  </si>
  <si>
    <t>Pre-Tax Income:</t>
  </si>
  <si>
    <t>Income Tax Provision:</t>
  </si>
  <si>
    <t>Net Income:</t>
  </si>
  <si>
    <t>Earnings Per Share (EPS):</t>
  </si>
  <si>
    <t>EBIT:</t>
  </si>
  <si>
    <t>EBITDA:</t>
  </si>
  <si>
    <t>INVESTMENT</t>
  </si>
  <si>
    <t>Levered Free Cash Flow:</t>
  </si>
  <si>
    <t>Book Value Per Share (BV):</t>
  </si>
  <si>
    <t xml:space="preserve">YEAR 0 </t>
  </si>
  <si>
    <t>YEAR 1</t>
  </si>
  <si>
    <t>YEAR 2</t>
  </si>
  <si>
    <t>YEAR 3</t>
  </si>
  <si>
    <t>YEAR 4</t>
  </si>
  <si>
    <t>YEAR 5</t>
  </si>
  <si>
    <t>YEAR 6</t>
  </si>
  <si>
    <t>YEAR 7</t>
  </si>
  <si>
    <t>YEAR 8</t>
  </si>
  <si>
    <t>Balance Sheet</t>
  </si>
  <si>
    <t>Assets:</t>
  </si>
  <si>
    <t>Current Assets:</t>
  </si>
  <si>
    <t>Cash &amp; Cash-Equivalents:</t>
  </si>
  <si>
    <t>Short-Term Securities:</t>
  </si>
  <si>
    <t>Accounts Receivable:</t>
  </si>
  <si>
    <t>Inventory:</t>
  </si>
  <si>
    <t>Deferred Tax Assets:</t>
  </si>
  <si>
    <t>Other Current Assets:</t>
  </si>
  <si>
    <t>Total Current Assets:</t>
  </si>
  <si>
    <t>Long-Term Assets:</t>
  </si>
  <si>
    <t>Long-Term Securities:</t>
  </si>
  <si>
    <t>Plants, Property &amp; Equipment:</t>
  </si>
  <si>
    <t>Goodwill:</t>
  </si>
  <si>
    <t>Other Intangible Assets:</t>
  </si>
  <si>
    <t>Other Assets:</t>
  </si>
  <si>
    <t>Total Assets:</t>
  </si>
  <si>
    <t>Liabilities &amp; Shareholders' Equity:</t>
  </si>
  <si>
    <t>Current Liabilities:</t>
  </si>
  <si>
    <t>Accounts Payable:</t>
  </si>
  <si>
    <t>Accrued Expenses:</t>
  </si>
  <si>
    <t>Deferred Revenue:</t>
  </si>
  <si>
    <t>Total Current Liabilities:</t>
  </si>
  <si>
    <t>Long-Term Liabilities:</t>
  </si>
  <si>
    <t>Long-Term Debt:</t>
  </si>
  <si>
    <t>Other Long-Term Liabilities:</t>
  </si>
  <si>
    <t>Total Liabilities:</t>
  </si>
  <si>
    <t>Shareholders' Equity:</t>
  </si>
  <si>
    <t>Common Stock:</t>
  </si>
  <si>
    <t>Additional Paid-In Capital:</t>
  </si>
  <si>
    <t>Treasury Stock:</t>
  </si>
  <si>
    <t>Retained Earnings:</t>
  </si>
  <si>
    <t>Accumulated Other Comprehensive Income:</t>
  </si>
  <si>
    <t>Total Shareholders' Equity:</t>
  </si>
  <si>
    <t>Total Liabilities &amp; SE:</t>
  </si>
  <si>
    <t>BALANCE CHECK:</t>
  </si>
  <si>
    <t>Cash Flow Statement</t>
  </si>
  <si>
    <t>Operating Activities:</t>
  </si>
  <si>
    <t>Deferred Income Tax Expense:</t>
  </si>
  <si>
    <t>Loss on PP&amp;E:</t>
  </si>
  <si>
    <t>Changes in Operating Assets &amp; Liabilities:</t>
  </si>
  <si>
    <t>Other Liabilities:</t>
  </si>
  <si>
    <t>Cash Flow from Operations:</t>
  </si>
  <si>
    <t>Investing Activities:</t>
  </si>
  <si>
    <t>Purchases of Securities:</t>
  </si>
  <si>
    <t>Proceeds from Maturities &amp; Sales:</t>
  </si>
  <si>
    <t>Purchases of LT Investments:</t>
  </si>
  <si>
    <t>Capital Expenditures:</t>
  </si>
  <si>
    <t>Acquisition of Intangibles:</t>
  </si>
  <si>
    <t>Other:</t>
  </si>
  <si>
    <t>Cash Flow from Investing:</t>
  </si>
  <si>
    <t>Financing Activities:</t>
  </si>
  <si>
    <t>Proceeds from Common Stock:</t>
  </si>
  <si>
    <t>Common Stock Repurchased:</t>
  </si>
  <si>
    <t>Dividends Issued:</t>
  </si>
  <si>
    <t>Tax Benefits from Stock-Based Comp:</t>
  </si>
  <si>
    <t>Raise / (Pay Off) Long-Term Debt</t>
  </si>
  <si>
    <t>Cash Used for Equity Awards:</t>
  </si>
  <si>
    <t>Cash Flow from Financing:</t>
  </si>
  <si>
    <t>Increase / Decrease in Cash:</t>
  </si>
  <si>
    <t>Cash &amp; Cash Equivalents:</t>
  </si>
  <si>
    <t>FY 2015</t>
  </si>
  <si>
    <t>FY 2016</t>
  </si>
  <si>
    <t>FY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</si>
</sst>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8" formatCode="&quot;$&quot;#,##0.00_);[Red]\(&quot;$&quot;#,##0.00\)"/>
    <numFmt numFmtId="164" formatCode="0.0\ \x"/>
    <numFmt numFmtId="165" formatCode="0.0%"/>
    <numFmt numFmtId="166" formatCode="#,##0.0"/>
    <numFmt numFmtId="167" formatCode="&quot;$&quot;#,##0"/>
    <numFmt numFmtId="168" formatCode="0.0%;[Red]\(0.0%\)"/>
    <numFmt numFmtId="169" formatCode="&quot;$&quot;#,##0.000_);[Red]\(&quot;$&quot;#,##0.000\)"/>
  </numFmts>
  <fonts count="34" x14ac:knownFonts="1">
    <font>
      <sz val="12"/>
      <color theme="1"/>
      <name val="Calibri"/>
      <family val="2"/>
      <scheme val="minor"/>
    </font>
    <font>
      <sz val="12"/>
      <color theme="1"/>
      <name val="Calibri"/>
      <family val="2"/>
      <scheme val="minor"/>
    </font>
    <font>
      <b/>
      <sz val="11"/>
      <color theme="1"/>
      <name val="Calibri"/>
      <family val="2"/>
      <scheme val="minor"/>
    </font>
    <font>
      <b/>
      <sz val="9"/>
      <color rgb="FF000000"/>
      <name val="Tahoma"/>
      <family val="2"/>
    </font>
    <font>
      <sz val="9"/>
      <color rgb="FF000000"/>
      <name val="Tahoma"/>
      <family val="2"/>
    </font>
    <font>
      <b/>
      <sz val="11"/>
      <color indexed="9"/>
      <name val="Calibri"/>
      <family val="2"/>
      <scheme val="minor"/>
    </font>
    <font>
      <b/>
      <u/>
      <sz val="10"/>
      <color indexed="9"/>
      <name val="Arial"/>
      <family val="2"/>
    </font>
    <font>
      <u/>
      <sz val="10"/>
      <color indexed="9"/>
      <name val="Arial"/>
      <family val="2"/>
    </font>
    <font>
      <sz val="11"/>
      <color theme="4"/>
      <name val="Calibri"/>
      <family val="2"/>
      <scheme val="minor"/>
    </font>
    <font>
      <sz val="11"/>
      <name val="Calibri"/>
      <family val="2"/>
      <scheme val="minor"/>
    </font>
    <font>
      <sz val="11"/>
      <color theme="3" tint="0.39997558519241921"/>
      <name val="Calibri"/>
      <family val="2"/>
      <scheme val="minor"/>
    </font>
    <font>
      <sz val="16"/>
      <color theme="1"/>
      <name val="Calibri"/>
      <family val="2"/>
      <scheme val="minor"/>
    </font>
    <font>
      <b/>
      <sz val="11"/>
      <name val="Calibri"/>
      <family val="2"/>
      <scheme val="minor"/>
    </font>
    <font>
      <sz val="10"/>
      <name val="Arial"/>
      <family val="2"/>
    </font>
    <font>
      <sz val="11"/>
      <name val="Calibri"/>
      <family val="2"/>
    </font>
    <font>
      <i/>
      <sz val="11"/>
      <name val="Calibri"/>
      <family val="2"/>
      <scheme val="minor"/>
    </font>
    <font>
      <i/>
      <sz val="11"/>
      <color theme="1"/>
      <name val="Calibri"/>
      <family val="2"/>
      <scheme val="minor"/>
    </font>
    <font>
      <i/>
      <sz val="18"/>
      <color theme="4"/>
      <name val="Calibri"/>
      <family val="2"/>
      <scheme val="minor"/>
    </font>
    <font>
      <i/>
      <sz val="11"/>
      <color theme="4"/>
      <name val="Calibri"/>
      <family val="2"/>
      <scheme val="minor"/>
    </font>
    <font>
      <b/>
      <sz val="11"/>
      <color rgb="FF00B050"/>
      <name val="Calibri"/>
      <family val="2"/>
      <scheme val="minor"/>
    </font>
    <font>
      <b/>
      <sz val="11"/>
      <color theme="4"/>
      <name val="Calibri"/>
      <family val="2"/>
      <scheme val="minor"/>
    </font>
    <font>
      <b/>
      <sz val="16"/>
      <color theme="1"/>
      <name val="Calibri"/>
      <family val="2"/>
      <scheme val="minor"/>
    </font>
    <font>
      <sz val="11"/>
      <color rgb="FF00B050"/>
      <name val="Calibri"/>
      <family val="2"/>
      <scheme val="minor"/>
    </font>
    <font>
      <sz val="11"/>
      <color rgb="FF0070C0"/>
      <name val="Calibri"/>
      <family val="2"/>
      <scheme val="minor"/>
    </font>
    <font>
      <i/>
      <sz val="11"/>
      <color rgb="FF00B050"/>
      <name val="Calibri"/>
      <family val="2"/>
      <scheme val="minor"/>
    </font>
    <font>
      <b/>
      <i/>
      <sz val="11"/>
      <name val="Calibri"/>
      <family val="2"/>
      <scheme val="minor"/>
    </font>
    <font>
      <b/>
      <i/>
      <sz val="11"/>
      <color rgb="FF00B050"/>
      <name val="Calibri"/>
      <family val="2"/>
      <scheme val="minor"/>
    </font>
    <font>
      <sz val="24"/>
      <color rgb="FFFF0000"/>
      <name val="Calibri"/>
      <family val="2"/>
      <scheme val="minor"/>
    </font>
    <font>
      <sz val="10"/>
      <color rgb="FFFF0000"/>
      <name val="Calibri"/>
      <family val="2"/>
      <scheme val="minor"/>
    </font>
    <font>
      <sz val="12"/>
      <color rgb="FFFF0000"/>
      <name val="Calibri"/>
      <family val="2"/>
      <scheme val="minor"/>
    </font>
    <font>
      <sz val="10.5"/>
      <color rgb="FF000000"/>
      <name val="Tahoma"/>
      <family val="2"/>
    </font>
    <font>
      <sz val="8"/>
      <name val="Calibri"/>
      <family val="2"/>
      <scheme val="minor"/>
    </font>
    <font>
      <sz val="11"/>
      <color theme="1"/>
      <name val="Calibri"/>
      <family val="2"/>
      <scheme val="minor"/>
    </font>
    <font>
      <sz val="20"/>
      <color theme="1"/>
      <name val="Calibri"/>
      <family val="2"/>
      <scheme val="minor"/>
    </font>
  </fonts>
  <fills count="11">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211">
    <xf numFmtId="0" fontId="0" fillId="0" borderId="0" xfId="0"/>
    <xf numFmtId="0" fontId="2" fillId="0" borderId="0" xfId="0" applyFont="1"/>
    <xf numFmtId="0" fontId="5" fillId="2" borderId="1" xfId="0" applyFont="1" applyFill="1" applyBorder="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7" fillId="2" borderId="3" xfId="0" applyFont="1" applyFill="1" applyBorder="1" applyAlignment="1">
      <alignment horizontal="left"/>
    </xf>
    <xf numFmtId="0" fontId="0" fillId="0" borderId="0" xfId="0" applyProtection="1">
      <protection locked="0"/>
    </xf>
    <xf numFmtId="0" fontId="0" fillId="0" borderId="4" xfId="0" applyBorder="1"/>
    <xf numFmtId="0" fontId="8" fillId="0" borderId="5" xfId="0" applyFont="1" applyBorder="1"/>
    <xf numFmtId="0" fontId="2" fillId="0" borderId="4" xfId="0" applyFont="1" applyBorder="1"/>
    <xf numFmtId="14" fontId="8" fillId="0" borderId="0" xfId="0" applyNumberFormat="1" applyFont="1" applyAlignment="1">
      <alignment horizontal="right"/>
    </xf>
    <xf numFmtId="0" fontId="8" fillId="0" borderId="0" xfId="0" applyFont="1"/>
    <xf numFmtId="6" fontId="8" fillId="0" borderId="5" xfId="0" applyNumberFormat="1" applyFont="1" applyBorder="1"/>
    <xf numFmtId="9" fontId="8" fillId="0" borderId="5" xfId="0" applyNumberFormat="1" applyFont="1" applyBorder="1"/>
    <xf numFmtId="9" fontId="0" fillId="0" borderId="0" xfId="0" applyNumberFormat="1"/>
    <xf numFmtId="8" fontId="8" fillId="0" borderId="0" xfId="0" applyNumberFormat="1" applyFont="1" applyAlignment="1">
      <alignment horizontal="right"/>
    </xf>
    <xf numFmtId="10" fontId="8" fillId="0" borderId="5" xfId="0" applyNumberFormat="1" applyFont="1" applyBorder="1"/>
    <xf numFmtId="3" fontId="8" fillId="0" borderId="0" xfId="0" applyNumberFormat="1" applyFont="1"/>
    <xf numFmtId="10" fontId="9" fillId="0" borderId="5" xfId="0" applyNumberFormat="1" applyFont="1" applyBorder="1"/>
    <xf numFmtId="6" fontId="9" fillId="0" borderId="0" xfId="0" applyNumberFormat="1" applyFont="1"/>
    <xf numFmtId="1" fontId="10" fillId="0" borderId="5" xfId="0" applyNumberFormat="1" applyFont="1" applyBorder="1"/>
    <xf numFmtId="3" fontId="9" fillId="0" borderId="0" xfId="0" applyNumberFormat="1" applyFont="1"/>
    <xf numFmtId="0" fontId="2" fillId="0" borderId="0" xfId="0" applyFont="1" applyAlignment="1">
      <alignment horizontal="center"/>
    </xf>
    <xf numFmtId="0" fontId="0" fillId="0" borderId="5" xfId="0" applyBorder="1"/>
    <xf numFmtId="0" fontId="2" fillId="0" borderId="6" xfId="0" applyFont="1" applyBorder="1" applyAlignment="1">
      <alignment horizontal="center"/>
    </xf>
    <xf numFmtId="0" fontId="2" fillId="0" borderId="7" xfId="0" applyFont="1" applyBorder="1" applyAlignment="1" applyProtection="1">
      <alignment horizontal="center"/>
      <protection locked="0"/>
    </xf>
    <xf numFmtId="0" fontId="0" fillId="0" borderId="8" xfId="0" applyBorder="1"/>
    <xf numFmtId="0" fontId="0" fillId="0" borderId="4" xfId="0" applyBorder="1" applyAlignment="1">
      <alignment horizontal="left" indent="1"/>
    </xf>
    <xf numFmtId="6" fontId="0" fillId="0" borderId="0" xfId="0" applyNumberFormat="1"/>
    <xf numFmtId="0" fontId="0" fillId="0" borderId="0" xfId="0" applyAlignment="1">
      <alignment horizontal="center"/>
    </xf>
    <xf numFmtId="1" fontId="11" fillId="3" borderId="9" xfId="0" applyNumberFormat="1" applyFont="1" applyFill="1" applyBorder="1" applyAlignment="1" applyProtection="1">
      <alignment horizontal="center"/>
      <protection locked="0"/>
    </xf>
    <xf numFmtId="6" fontId="8" fillId="0" borderId="0" xfId="0" applyNumberFormat="1" applyFont="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6" fontId="2" fillId="0" borderId="2" xfId="0" applyNumberFormat="1" applyFont="1" applyBorder="1"/>
    <xf numFmtId="0" fontId="2" fillId="0" borderId="2" xfId="0" applyFont="1" applyBorder="1"/>
    <xf numFmtId="0" fontId="0" fillId="0" borderId="2" xfId="0" applyBorder="1"/>
    <xf numFmtId="3" fontId="12" fillId="0" borderId="2" xfId="0" applyNumberFormat="1" applyFont="1" applyBorder="1"/>
    <xf numFmtId="0" fontId="2" fillId="5" borderId="16" xfId="0" applyFont="1" applyFill="1" applyBorder="1" applyAlignment="1">
      <alignment horizontal="centerContinuous"/>
    </xf>
    <xf numFmtId="0" fontId="0" fillId="5" borderId="17" xfId="0" applyFill="1" applyBorder="1" applyAlignment="1">
      <alignment horizontal="centerContinuous"/>
    </xf>
    <xf numFmtId="0" fontId="0" fillId="5" borderId="18" xfId="0" applyFill="1" applyBorder="1" applyAlignment="1">
      <alignment horizontal="centerContinuous"/>
    </xf>
    <xf numFmtId="0" fontId="2" fillId="6" borderId="17" xfId="0" applyFont="1" applyFill="1" applyBorder="1" applyAlignment="1">
      <alignment horizontal="centerContinuous"/>
    </xf>
    <xf numFmtId="0" fontId="2" fillId="6" borderId="18" xfId="0" applyFont="1" applyFill="1" applyBorder="1" applyAlignment="1">
      <alignment horizontal="centerContinuous"/>
    </xf>
    <xf numFmtId="0" fontId="12" fillId="0" borderId="6" xfId="0" applyFont="1" applyBorder="1" applyAlignment="1">
      <alignment horizontal="center"/>
    </xf>
    <xf numFmtId="0" fontId="12" fillId="0" borderId="19" xfId="0" applyFont="1" applyBorder="1" applyAlignment="1">
      <alignment horizontal="center"/>
    </xf>
    <xf numFmtId="0" fontId="12" fillId="0" borderId="0" xfId="0" applyFont="1" applyAlignment="1">
      <alignment horizontal="center"/>
    </xf>
    <xf numFmtId="0" fontId="12" fillId="0" borderId="5" xfId="0" applyFont="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164" fontId="14" fillId="0" borderId="0" xfId="2" applyNumberFormat="1" applyFont="1"/>
    <xf numFmtId="164" fontId="14" fillId="0" borderId="5" xfId="2" applyNumberFormat="1" applyFont="1" applyBorder="1"/>
    <xf numFmtId="0" fontId="0" fillId="7" borderId="20" xfId="0" applyFill="1" applyBorder="1"/>
    <xf numFmtId="0" fontId="0" fillId="7" borderId="21" xfId="0" applyFill="1" applyBorder="1" applyProtection="1">
      <protection locked="0"/>
    </xf>
    <xf numFmtId="10" fontId="0" fillId="7" borderId="21" xfId="1" applyNumberFormat="1" applyFont="1" applyFill="1" applyBorder="1" applyProtection="1">
      <protection locked="0"/>
    </xf>
    <xf numFmtId="10" fontId="0" fillId="7" borderId="22" xfId="1" applyNumberFormat="1" applyFont="1" applyFill="1" applyBorder="1" applyProtection="1">
      <protection locked="0"/>
    </xf>
    <xf numFmtId="0" fontId="0" fillId="7" borderId="13" xfId="0" applyFill="1" applyBorder="1"/>
    <xf numFmtId="0" fontId="0" fillId="7" borderId="14" xfId="0" applyFill="1" applyBorder="1" applyProtection="1">
      <protection locked="0"/>
    </xf>
    <xf numFmtId="10" fontId="0" fillId="7" borderId="14" xfId="1" applyNumberFormat="1" applyFont="1" applyFill="1" applyBorder="1" applyProtection="1">
      <protection locked="0"/>
    </xf>
    <xf numFmtId="10" fontId="0" fillId="7" borderId="15" xfId="1" applyNumberFormat="1" applyFont="1" applyFill="1" applyBorder="1" applyProtection="1">
      <protection locked="0"/>
    </xf>
    <xf numFmtId="0" fontId="2" fillId="0" borderId="23" xfId="0" applyFont="1" applyBorder="1"/>
    <xf numFmtId="0" fontId="0" fillId="0" borderId="6" xfId="0" applyBorder="1"/>
    <xf numFmtId="164" fontId="14" fillId="0" borderId="6" xfId="2" applyNumberFormat="1" applyFont="1" applyBorder="1"/>
    <xf numFmtId="164" fontId="14" fillId="0" borderId="19" xfId="2" applyNumberFormat="1" applyFont="1" applyBorder="1"/>
    <xf numFmtId="165" fontId="15" fillId="0" borderId="24" xfId="0" applyNumberFormat="1" applyFont="1" applyBorder="1" applyAlignment="1">
      <alignment vertical="center"/>
    </xf>
    <xf numFmtId="165" fontId="15" fillId="0" borderId="25" xfId="0" applyNumberFormat="1" applyFont="1" applyBorder="1" applyAlignment="1">
      <alignment vertical="center"/>
    </xf>
    <xf numFmtId="165" fontId="15" fillId="0" borderId="26" xfId="0" applyNumberFormat="1" applyFont="1" applyBorder="1" applyAlignment="1">
      <alignment vertical="center"/>
    </xf>
    <xf numFmtId="165" fontId="15" fillId="0" borderId="27" xfId="0" applyNumberFormat="1" applyFont="1" applyBorder="1" applyAlignment="1">
      <alignment vertical="center"/>
    </xf>
    <xf numFmtId="165" fontId="15" fillId="0" borderId="0" xfId="0" applyNumberFormat="1" applyFont="1" applyAlignment="1">
      <alignment vertical="center"/>
    </xf>
    <xf numFmtId="165" fontId="15" fillId="0" borderId="28" xfId="0" applyNumberFormat="1" applyFont="1" applyBorder="1" applyAlignment="1">
      <alignment vertical="center"/>
    </xf>
    <xf numFmtId="165" fontId="16" fillId="0" borderId="0" xfId="0" applyNumberFormat="1" applyFont="1" applyAlignment="1">
      <alignment vertical="center"/>
    </xf>
    <xf numFmtId="165" fontId="16" fillId="0" borderId="28" xfId="0" applyNumberFormat="1" applyFont="1" applyBorder="1" applyAlignment="1">
      <alignment vertical="center"/>
    </xf>
    <xf numFmtId="165" fontId="16" fillId="0" borderId="27" xfId="0" applyNumberFormat="1" applyFont="1" applyBorder="1" applyAlignment="1">
      <alignment vertical="center"/>
    </xf>
    <xf numFmtId="165" fontId="16" fillId="0" borderId="0" xfId="0" applyNumberFormat="1" applyFont="1"/>
    <xf numFmtId="165" fontId="16" fillId="0" borderId="27" xfId="0" applyNumberFormat="1" applyFont="1" applyBorder="1"/>
    <xf numFmtId="165" fontId="16" fillId="0" borderId="28" xfId="0" applyNumberFormat="1" applyFont="1" applyBorder="1"/>
    <xf numFmtId="165" fontId="18" fillId="0" borderId="0" xfId="0" applyNumberFormat="1" applyFont="1"/>
    <xf numFmtId="165" fontId="18" fillId="0" borderId="27" xfId="0" applyNumberFormat="1" applyFont="1" applyBorder="1"/>
    <xf numFmtId="165" fontId="18" fillId="0" borderId="28" xfId="0" applyNumberFormat="1" applyFont="1" applyBorder="1"/>
    <xf numFmtId="165" fontId="15" fillId="0" borderId="28" xfId="0" applyNumberFormat="1" applyFont="1" applyBorder="1"/>
    <xf numFmtId="165" fontId="15" fillId="0" borderId="27" xfId="0" applyNumberFormat="1" applyFont="1" applyBorder="1"/>
    <xf numFmtId="165" fontId="15" fillId="0" borderId="0" xfId="0" applyNumberFormat="1" applyFont="1"/>
    <xf numFmtId="0" fontId="0" fillId="0" borderId="27" xfId="0" applyBorder="1"/>
    <xf numFmtId="0" fontId="0" fillId="0" borderId="28" xfId="0" applyBorder="1"/>
    <xf numFmtId="10" fontId="0" fillId="0" borderId="27" xfId="1" applyNumberFormat="1" applyFont="1" applyBorder="1"/>
    <xf numFmtId="10" fontId="0" fillId="0" borderId="0" xfId="1" applyNumberFormat="1" applyFont="1"/>
    <xf numFmtId="10" fontId="0" fillId="0" borderId="28" xfId="1" applyNumberFormat="1" applyFont="1" applyBorder="1"/>
    <xf numFmtId="166" fontId="0" fillId="0" borderId="0" xfId="0" applyNumberFormat="1"/>
    <xf numFmtId="166" fontId="0" fillId="0" borderId="27" xfId="0" applyNumberFormat="1" applyBorder="1"/>
    <xf numFmtId="166" fontId="0" fillId="0" borderId="28" xfId="0" applyNumberFormat="1" applyBorder="1"/>
    <xf numFmtId="6" fontId="8" fillId="0" borderId="27" xfId="0" applyNumberFormat="1" applyFont="1" applyBorder="1"/>
    <xf numFmtId="6" fontId="8" fillId="0" borderId="28" xfId="0" applyNumberFormat="1" applyFont="1" applyBorder="1"/>
    <xf numFmtId="9" fontId="16" fillId="0" borderId="0" xfId="0" applyNumberFormat="1" applyFont="1"/>
    <xf numFmtId="9" fontId="16" fillId="0" borderId="27" xfId="0" applyNumberFormat="1" applyFont="1" applyBorder="1"/>
    <xf numFmtId="9" fontId="16" fillId="0" borderId="28" xfId="0" applyNumberFormat="1" applyFont="1" applyBorder="1"/>
    <xf numFmtId="0" fontId="0" fillId="0" borderId="23" xfId="0" applyBorder="1"/>
    <xf numFmtId="165" fontId="16" fillId="0" borderId="6" xfId="0" applyNumberFormat="1" applyFont="1" applyBorder="1"/>
    <xf numFmtId="165" fontId="16" fillId="0" borderId="29" xfId="0" applyNumberFormat="1" applyFont="1" applyBorder="1"/>
    <xf numFmtId="165" fontId="16" fillId="0" borderId="30" xfId="0" applyNumberFormat="1" applyFont="1" applyBorder="1"/>
    <xf numFmtId="165" fontId="16" fillId="0" borderId="31" xfId="0" applyNumberFormat="1" applyFont="1" applyBorder="1"/>
    <xf numFmtId="0" fontId="19" fillId="0" borderId="5" xfId="0" applyFont="1" applyBorder="1" applyAlignment="1">
      <alignment horizontal="center"/>
    </xf>
    <xf numFmtId="6" fontId="20" fillId="0" borderId="0" xfId="0" applyNumberFormat="1" applyFont="1"/>
    <xf numFmtId="6" fontId="20" fillId="0" borderId="5" xfId="0" applyNumberFormat="1" applyFont="1" applyBorder="1"/>
    <xf numFmtId="6" fontId="12" fillId="0" borderId="0" xfId="0" applyNumberFormat="1" applyFont="1"/>
    <xf numFmtId="6" fontId="12" fillId="0" borderId="5" xfId="0" applyNumberFormat="1" applyFont="1" applyBorder="1"/>
    <xf numFmtId="6" fontId="9" fillId="0" borderId="5" xfId="0" applyNumberFormat="1" applyFont="1" applyBorder="1"/>
    <xf numFmtId="0" fontId="2" fillId="0" borderId="4" xfId="0" applyFont="1" applyBorder="1" applyAlignment="1">
      <alignment horizontal="left" indent="1"/>
    </xf>
    <xf numFmtId="6" fontId="2" fillId="0" borderId="0" xfId="0" applyNumberFormat="1" applyFont="1"/>
    <xf numFmtId="6" fontId="2" fillId="0" borderId="5" xfId="0" applyNumberFormat="1" applyFont="1" applyBorder="1"/>
    <xf numFmtId="6" fontId="2" fillId="0" borderId="4" xfId="0" applyNumberFormat="1" applyFont="1" applyBorder="1"/>
    <xf numFmtId="0" fontId="2" fillId="0" borderId="1" xfId="0" applyFont="1" applyBorder="1" applyAlignment="1">
      <alignment horizontal="left"/>
    </xf>
    <xf numFmtId="6" fontId="2" fillId="0" borderId="3" xfId="0" applyNumberFormat="1" applyFont="1" applyBorder="1"/>
    <xf numFmtId="0" fontId="2" fillId="0" borderId="4" xfId="0" applyFont="1" applyBorder="1" applyAlignment="1">
      <alignment horizontal="left"/>
    </xf>
    <xf numFmtId="167" fontId="12" fillId="0" borderId="0" xfId="0" applyNumberFormat="1" applyFont="1"/>
    <xf numFmtId="167" fontId="12" fillId="0" borderId="5" xfId="0" applyNumberFormat="1" applyFont="1" applyBorder="1"/>
    <xf numFmtId="6" fontId="0" fillId="0" borderId="5" xfId="0" applyNumberFormat="1" applyBorder="1"/>
    <xf numFmtId="0" fontId="0" fillId="0" borderId="4" xfId="0" applyBorder="1" applyAlignment="1">
      <alignment horizontal="left"/>
    </xf>
    <xf numFmtId="8" fontId="2" fillId="0" borderId="0" xfId="0" applyNumberFormat="1" applyFont="1"/>
    <xf numFmtId="8" fontId="2" fillId="0" borderId="5" xfId="0" applyNumberFormat="1" applyFont="1" applyBorder="1"/>
    <xf numFmtId="3" fontId="8" fillId="0" borderId="5" xfId="0" applyNumberFormat="1" applyFont="1" applyBorder="1"/>
    <xf numFmtId="3" fontId="9" fillId="0" borderId="5" xfId="0" applyNumberFormat="1" applyFont="1" applyBorder="1"/>
    <xf numFmtId="0" fontId="21" fillId="0" borderId="4" xfId="0" applyFont="1" applyBorder="1" applyAlignment="1">
      <alignment horizontal="left" indent="1"/>
    </xf>
    <xf numFmtId="0" fontId="11" fillId="0" borderId="0" xfId="0" applyFont="1"/>
    <xf numFmtId="6" fontId="21" fillId="0" borderId="0" xfId="0" applyNumberFormat="1" applyFont="1"/>
    <xf numFmtId="6" fontId="21" fillId="0" borderId="5" xfId="0" applyNumberFormat="1" applyFont="1" applyBorder="1"/>
    <xf numFmtId="6" fontId="21" fillId="0" borderId="4" xfId="0" applyNumberFormat="1" applyFont="1" applyBorder="1"/>
    <xf numFmtId="0" fontId="2" fillId="0" borderId="23" xfId="0" applyFont="1" applyBorder="1" applyAlignment="1">
      <alignment horizontal="left" indent="1"/>
    </xf>
    <xf numFmtId="3" fontId="8" fillId="0" borderId="6" xfId="0" applyNumberFormat="1" applyFont="1" applyBorder="1"/>
    <xf numFmtId="8" fontId="2" fillId="0" borderId="6" xfId="0" applyNumberFormat="1" applyFont="1" applyBorder="1"/>
    <xf numFmtId="8" fontId="2" fillId="0" borderId="19" xfId="0" applyNumberFormat="1" applyFont="1" applyBorder="1"/>
    <xf numFmtId="0" fontId="2" fillId="0" borderId="4" xfId="0" applyFont="1" applyBorder="1" applyAlignment="1">
      <alignment horizontal="centerContinuous"/>
    </xf>
    <xf numFmtId="0" fontId="0" fillId="0" borderId="0" xfId="0" applyAlignment="1">
      <alignment horizontal="centerContinuous"/>
    </xf>
    <xf numFmtId="4" fontId="19" fillId="0" borderId="0" xfId="0" applyNumberFormat="1" applyFont="1" applyAlignment="1">
      <alignment horizontal="left"/>
    </xf>
    <xf numFmtId="4" fontId="19" fillId="0" borderId="5" xfId="0" applyNumberFormat="1" applyFont="1" applyBorder="1" applyAlignment="1">
      <alignment horizontal="left"/>
    </xf>
    <xf numFmtId="0" fontId="0" fillId="0" borderId="3" xfId="0" applyBorder="1"/>
    <xf numFmtId="6" fontId="19" fillId="0" borderId="0" xfId="0" applyNumberFormat="1" applyFont="1"/>
    <xf numFmtId="6" fontId="19" fillId="0" borderId="5" xfId="0" applyNumberFormat="1" applyFont="1" applyBorder="1"/>
    <xf numFmtId="6" fontId="22" fillId="0" borderId="0" xfId="0" applyNumberFormat="1" applyFont="1"/>
    <xf numFmtId="0" fontId="2" fillId="0" borderId="1" xfId="0" applyFont="1" applyBorder="1"/>
    <xf numFmtId="167" fontId="12" fillId="0" borderId="2" xfId="0" applyNumberFormat="1" applyFont="1" applyBorder="1"/>
    <xf numFmtId="167" fontId="19" fillId="0" borderId="2" xfId="0" applyNumberFormat="1" applyFont="1" applyBorder="1"/>
    <xf numFmtId="6" fontId="12" fillId="0" borderId="2" xfId="0" applyNumberFormat="1" applyFont="1" applyBorder="1"/>
    <xf numFmtId="6" fontId="12" fillId="0" borderId="3" xfId="0" applyNumberFormat="1" applyFont="1" applyBorder="1"/>
    <xf numFmtId="6" fontId="23" fillId="0" borderId="0" xfId="0" applyNumberFormat="1" applyFont="1"/>
    <xf numFmtId="5" fontId="23" fillId="0" borderId="0" xfId="0" applyNumberFormat="1" applyFont="1"/>
    <xf numFmtId="5" fontId="9" fillId="0" borderId="0" xfId="0" applyNumberFormat="1" applyFont="1"/>
    <xf numFmtId="168" fontId="9" fillId="0" borderId="4" xfId="0" applyNumberFormat="1" applyFont="1" applyBorder="1" applyAlignment="1">
      <alignment horizontal="left" indent="1"/>
    </xf>
    <xf numFmtId="168" fontId="15" fillId="0" borderId="0" xfId="0" applyNumberFormat="1" applyFont="1"/>
    <xf numFmtId="168" fontId="24" fillId="0" borderId="0" xfId="0" applyNumberFormat="1" applyFont="1"/>
    <xf numFmtId="168" fontId="15" fillId="0" borderId="4" xfId="0" applyNumberFormat="1" applyFont="1" applyBorder="1"/>
    <xf numFmtId="168" fontId="24" fillId="0" borderId="5" xfId="0" applyNumberFormat="1" applyFont="1" applyBorder="1"/>
    <xf numFmtId="168" fontId="12" fillId="0" borderId="4" xfId="0" applyNumberFormat="1" applyFont="1" applyBorder="1" applyAlignment="1">
      <alignment horizontal="centerContinuous"/>
    </xf>
    <xf numFmtId="168" fontId="25" fillId="0" borderId="0" xfId="0" applyNumberFormat="1" applyFont="1" applyAlignment="1">
      <alignment horizontal="centerContinuous"/>
    </xf>
    <xf numFmtId="168" fontId="26" fillId="0" borderId="0" xfId="0" applyNumberFormat="1" applyFont="1" applyAlignment="1">
      <alignment horizontal="centerContinuous"/>
    </xf>
    <xf numFmtId="168" fontId="26" fillId="0" borderId="0" xfId="0" applyNumberFormat="1" applyFont="1" applyAlignment="1">
      <alignment horizontal="left"/>
    </xf>
    <xf numFmtId="168" fontId="26" fillId="0" borderId="5" xfId="0" applyNumberFormat="1" applyFont="1" applyBorder="1" applyAlignment="1">
      <alignment horizontal="left"/>
    </xf>
    <xf numFmtId="6" fontId="12" fillId="0" borderId="6" xfId="0" applyNumberFormat="1" applyFont="1" applyBorder="1"/>
    <xf numFmtId="6" fontId="12" fillId="0" borderId="19" xfId="0" applyNumberFormat="1" applyFont="1" applyBorder="1"/>
    <xf numFmtId="169" fontId="2" fillId="0" borderId="0" xfId="0" applyNumberFormat="1" applyFont="1"/>
    <xf numFmtId="0" fontId="2" fillId="0" borderId="0" xfId="0" applyFont="1" applyAlignment="1">
      <alignment horizontal="centerContinuous"/>
    </xf>
    <xf numFmtId="0" fontId="19" fillId="0" borderId="5" xfId="0" applyFont="1" applyBorder="1" applyAlignment="1">
      <alignment horizontal="centerContinuous"/>
    </xf>
    <xf numFmtId="6" fontId="12" fillId="0" borderId="4" xfId="0" applyNumberFormat="1" applyFont="1" applyBorder="1"/>
    <xf numFmtId="6" fontId="9" fillId="0" borderId="4" xfId="0" applyNumberFormat="1" applyFont="1" applyBorder="1"/>
    <xf numFmtId="6" fontId="0" fillId="0" borderId="4" xfId="0" applyNumberFormat="1" applyBorder="1"/>
    <xf numFmtId="6" fontId="2" fillId="0" borderId="1" xfId="0" applyNumberFormat="1" applyFont="1" applyBorder="1"/>
    <xf numFmtId="8" fontId="2" fillId="0" borderId="0" xfId="0" applyNumberFormat="1" applyFont="1" applyAlignment="1">
      <alignment horizontal="centerContinuous"/>
    </xf>
    <xf numFmtId="0" fontId="0" fillId="0" borderId="5" xfId="0" applyBorder="1" applyAlignment="1">
      <alignment horizontal="centerContinuous"/>
    </xf>
    <xf numFmtId="3" fontId="22" fillId="0" borderId="0" xfId="0" applyNumberFormat="1" applyFont="1"/>
    <xf numFmtId="6" fontId="20" fillId="0" borderId="6" xfId="0" applyNumberFormat="1" applyFont="1" applyBorder="1"/>
    <xf numFmtId="6" fontId="2" fillId="0" borderId="6" xfId="0" applyNumberFormat="1" applyFont="1" applyBorder="1"/>
    <xf numFmtId="6" fontId="2" fillId="0" borderId="19" xfId="0" applyNumberFormat="1" applyFont="1" applyBorder="1"/>
    <xf numFmtId="0" fontId="28" fillId="0" borderId="0" xfId="0" applyFont="1"/>
    <xf numFmtId="167" fontId="29" fillId="0" borderId="0" xfId="0" applyNumberFormat="1" applyFont="1"/>
    <xf numFmtId="0" fontId="0" fillId="10" borderId="0" xfId="0" applyFill="1"/>
    <xf numFmtId="0" fontId="32" fillId="0" borderId="0" xfId="0" applyFont="1" applyAlignment="1">
      <alignment horizontal="center" vertical="center"/>
    </xf>
    <xf numFmtId="0" fontId="0" fillId="0" borderId="27" xfId="0" applyBorder="1" applyProtection="1">
      <protection locked="0"/>
    </xf>
    <xf numFmtId="0" fontId="0" fillId="0" borderId="0" xfId="0" applyBorder="1" applyProtection="1">
      <protection locked="0"/>
    </xf>
    <xf numFmtId="0" fontId="0" fillId="0" borderId="28" xfId="0" applyBorder="1" applyProtection="1">
      <protection locked="0"/>
    </xf>
    <xf numFmtId="0" fontId="0" fillId="0" borderId="0" xfId="0" applyBorder="1"/>
    <xf numFmtId="10" fontId="17" fillId="8" borderId="10" xfId="0" applyNumberFormat="1" applyFont="1" applyFill="1" applyBorder="1" applyProtection="1">
      <protection locked="0"/>
    </xf>
    <xf numFmtId="8" fontId="0" fillId="4" borderId="14" xfId="0" applyNumberFormat="1" applyFill="1" applyBorder="1" applyProtection="1">
      <protection locked="0"/>
    </xf>
    <xf numFmtId="9" fontId="0" fillId="4" borderId="15" xfId="0" applyNumberFormat="1" applyFill="1" applyBorder="1" applyProtection="1">
      <protection locked="0"/>
    </xf>
    <xf numFmtId="8" fontId="0" fillId="4" borderId="21" xfId="0" applyNumberFormat="1" applyFill="1" applyBorder="1" applyProtection="1">
      <protection locked="0"/>
    </xf>
    <xf numFmtId="0" fontId="0" fillId="0" borderId="20" xfId="0" applyBorder="1" applyProtection="1">
      <protection locked="0"/>
    </xf>
    <xf numFmtId="9" fontId="0" fillId="4" borderId="22" xfId="0" applyNumberFormat="1" applyFill="1" applyBorder="1" applyProtection="1">
      <protection locked="0"/>
    </xf>
    <xf numFmtId="3" fontId="22" fillId="0" borderId="0" xfId="0" applyNumberFormat="1" applyFont="1" applyBorder="1"/>
    <xf numFmtId="6" fontId="8" fillId="0" borderId="0" xfId="0" applyNumberFormat="1" applyFont="1" applyBorder="1"/>
    <xf numFmtId="6" fontId="0" fillId="0" borderId="0" xfId="0" applyNumberFormat="1" applyBorder="1"/>
    <xf numFmtId="0" fontId="2" fillId="0" borderId="16" xfId="0" applyFont="1" applyBorder="1" applyAlignment="1">
      <alignment horizontal="left"/>
    </xf>
    <xf numFmtId="0" fontId="0" fillId="0" borderId="17" xfId="0" applyBorder="1"/>
    <xf numFmtId="6" fontId="2" fillId="0" borderId="17" xfId="0" applyNumberFormat="1" applyFont="1" applyBorder="1"/>
    <xf numFmtId="6" fontId="2" fillId="0" borderId="18" xfId="0" applyNumberFormat="1" applyFont="1" applyBorder="1"/>
    <xf numFmtId="0" fontId="0" fillId="0" borderId="21" xfId="0" applyBorder="1"/>
    <xf numFmtId="0" fontId="0" fillId="0" borderId="16" xfId="0" applyBorder="1"/>
    <xf numFmtId="0" fontId="2" fillId="0" borderId="21" xfId="0" applyFont="1" applyBorder="1" applyAlignment="1">
      <alignment horizontal="center"/>
    </xf>
    <xf numFmtId="0" fontId="0" fillId="0" borderId="21" xfId="0" applyBorder="1" applyAlignment="1">
      <alignment horizontal="center"/>
    </xf>
    <xf numFmtId="8" fontId="2" fillId="0" borderId="16" xfId="0" applyNumberFormat="1" applyFont="1" applyBorder="1" applyAlignment="1">
      <alignment horizontal="center"/>
    </xf>
    <xf numFmtId="0" fontId="0" fillId="0" borderId="18" xfId="0"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3" fillId="0" borderId="32" xfId="0" applyFont="1" applyFill="1" applyBorder="1" applyAlignment="1">
      <alignment horizontal="center"/>
    </xf>
    <xf numFmtId="0" fontId="33" fillId="0" borderId="33" xfId="0" applyFont="1" applyFill="1" applyBorder="1" applyAlignment="1">
      <alignment horizontal="center"/>
    </xf>
    <xf numFmtId="0" fontId="33" fillId="0" borderId="34" xfId="0" applyFont="1" applyFill="1" applyBorder="1" applyAlignment="1">
      <alignment horizontal="center"/>
    </xf>
    <xf numFmtId="0" fontId="27" fillId="9" borderId="32" xfId="0" applyFont="1" applyFill="1" applyBorder="1" applyAlignment="1">
      <alignment horizontal="center"/>
    </xf>
    <xf numFmtId="0" fontId="27" fillId="9" borderId="33" xfId="0" applyFont="1" applyFill="1" applyBorder="1" applyAlignment="1">
      <alignment horizontal="center"/>
    </xf>
    <xf numFmtId="0" fontId="27" fillId="9" borderId="34" xfId="0" applyFont="1" applyFill="1" applyBorder="1" applyAlignment="1">
      <alignment horizontal="center"/>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NPV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'Scenarios Comparison'!$B$2</c:f>
              <c:strCache>
                <c:ptCount val="1"/>
                <c:pt idx="0">
                  <c:v>NPV</c:v>
                </c:pt>
              </c:strCache>
            </c:strRef>
          </c:tx>
          <c:spPr>
            <a:solidFill>
              <a:schemeClr val="accent1"/>
            </a:solidFill>
            <a:ln>
              <a:noFill/>
            </a:ln>
            <a:effectLst/>
            <a:sp3d/>
          </c:spPr>
          <c:invertIfNegative val="0"/>
          <c:cat>
            <c:strRef>
              <c:f>'Scenarios Comparison'!$A$3:$A$5</c:f>
              <c:strCache>
                <c:ptCount val="3"/>
                <c:pt idx="0">
                  <c:v>Scenario 1</c:v>
                </c:pt>
                <c:pt idx="1">
                  <c:v>Scenario 2</c:v>
                </c:pt>
                <c:pt idx="2">
                  <c:v>Scenario 3</c:v>
                </c:pt>
              </c:strCache>
            </c:strRef>
          </c:cat>
          <c:val>
            <c:numRef>
              <c:f>'Scenarios Comparison'!$B$3:$B$5</c:f>
              <c:numCache>
                <c:formatCode>"$"#,##0.00_);[Red]\("$"#,##0.00\)</c:formatCode>
                <c:ptCount val="3"/>
                <c:pt idx="0">
                  <c:v>18164.907349618879</c:v>
                </c:pt>
                <c:pt idx="1">
                  <c:v>37048.829174663886</c:v>
                </c:pt>
                <c:pt idx="2">
                  <c:v>56144.559242382908</c:v>
                </c:pt>
              </c:numCache>
            </c:numRef>
          </c:val>
          <c:extLst>
            <c:ext xmlns:c16="http://schemas.microsoft.com/office/drawing/2014/chart" uri="{C3380CC4-5D6E-409C-BE32-E72D297353CC}">
              <c16:uniqueId val="{00000000-A037-4974-B35A-4448831B6C09}"/>
            </c:ext>
          </c:extLst>
        </c:ser>
        <c:dLbls>
          <c:showLegendKey val="0"/>
          <c:showVal val="0"/>
          <c:showCatName val="0"/>
          <c:showSerName val="0"/>
          <c:showPercent val="0"/>
          <c:showBubbleSize val="0"/>
        </c:dLbls>
        <c:gapWidth val="95"/>
        <c:gapDepth val="95"/>
        <c:shape val="box"/>
        <c:axId val="443880008"/>
        <c:axId val="443880336"/>
        <c:axId val="0"/>
      </c:bar3DChart>
      <c:catAx>
        <c:axId val="443880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80336"/>
        <c:crosses val="autoZero"/>
        <c:auto val="1"/>
        <c:lblAlgn val="ctr"/>
        <c:lblOffset val="100"/>
        <c:noMultiLvlLbl val="0"/>
      </c:catAx>
      <c:valAx>
        <c:axId val="443880336"/>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r>
                  <a:rPr lang="en-US" baseline="0"/>
                  <a:t> (in millions)</a:t>
                </a:r>
                <a:endParaRPr lang="en-US"/>
              </a:p>
            </c:rich>
          </c:tx>
          <c:layout>
            <c:manualLayout>
              <c:xMode val="edge"/>
              <c:yMode val="edge"/>
              <c:x val="4.052637396819031E-2"/>
              <c:y val="0.29745471630860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80008"/>
        <c:crosses val="autoZero"/>
        <c:crossBetween val="between"/>
        <c:majorUnit val="10000"/>
        <c:min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'Scenarios Comparison'!$C$2</c:f>
              <c:strCache>
                <c:ptCount val="1"/>
                <c:pt idx="0">
                  <c:v>IRR</c:v>
                </c:pt>
              </c:strCache>
            </c:strRef>
          </c:tx>
          <c:spPr>
            <a:solidFill>
              <a:schemeClr val="accent1"/>
            </a:solidFill>
            <a:ln>
              <a:noFill/>
            </a:ln>
            <a:effectLst/>
            <a:scene3d>
              <a:camera prst="orthographicFront"/>
              <a:lightRig rig="threePt" dir="t"/>
            </a:scene3d>
            <a:sp3d>
              <a:bevelT/>
            </a:sp3d>
          </c:spPr>
          <c:invertIfNegative val="0"/>
          <c:cat>
            <c:strRef>
              <c:f>'Scenarios Comparison'!$A$3:$A$5</c:f>
              <c:strCache>
                <c:ptCount val="3"/>
                <c:pt idx="0">
                  <c:v>Scenario 1</c:v>
                </c:pt>
                <c:pt idx="1">
                  <c:v>Scenario 2</c:v>
                </c:pt>
                <c:pt idx="2">
                  <c:v>Scenario 3</c:v>
                </c:pt>
              </c:strCache>
            </c:strRef>
          </c:cat>
          <c:val>
            <c:numRef>
              <c:f>'Scenarios Comparison'!$C$3:$C$5</c:f>
              <c:numCache>
                <c:formatCode>0%</c:formatCode>
                <c:ptCount val="3"/>
                <c:pt idx="0">
                  <c:v>0.13254899887296756</c:v>
                </c:pt>
                <c:pt idx="1">
                  <c:v>0.18526835812413345</c:v>
                </c:pt>
                <c:pt idx="2">
                  <c:v>0.22681842390690421</c:v>
                </c:pt>
              </c:numCache>
            </c:numRef>
          </c:val>
          <c:extLst>
            <c:ext xmlns:c16="http://schemas.microsoft.com/office/drawing/2014/chart" uri="{C3380CC4-5D6E-409C-BE32-E72D297353CC}">
              <c16:uniqueId val="{00000000-D250-47D3-A830-C01CEC65570C}"/>
            </c:ext>
          </c:extLst>
        </c:ser>
        <c:dLbls>
          <c:showLegendKey val="0"/>
          <c:showVal val="0"/>
          <c:showCatName val="0"/>
          <c:showSerName val="0"/>
          <c:showPercent val="0"/>
          <c:showBubbleSize val="0"/>
        </c:dLbls>
        <c:gapWidth val="219"/>
        <c:overlap val="-27"/>
        <c:axId val="667437208"/>
        <c:axId val="667693888"/>
      </c:barChart>
      <c:catAx>
        <c:axId val="667437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93888"/>
        <c:crosses val="autoZero"/>
        <c:auto val="1"/>
        <c:lblAlgn val="ctr"/>
        <c:lblOffset val="100"/>
        <c:noMultiLvlLbl val="0"/>
      </c:catAx>
      <c:valAx>
        <c:axId val="667693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37208"/>
        <c:crosses val="autoZero"/>
        <c:crossBetween val="between"/>
      </c:valAx>
      <c:spPr>
        <a:noFill/>
        <a:ln>
          <a:noFill/>
        </a:ln>
        <a:effectLst/>
      </c:spPr>
    </c:plotArea>
    <c:plotVisOnly val="1"/>
    <c:dispBlanksAs val="gap"/>
    <c:showDLblsOverMax val="0"/>
  </c:chart>
  <c:spPr>
    <a:gradFill flip="none" rotWithShape="1">
      <a:gsLst>
        <a:gs pos="0">
          <a:schemeClr val="accent2">
            <a:lumMod val="5000"/>
            <a:lumOff val="95000"/>
          </a:schemeClr>
        </a:gs>
        <a:gs pos="100000">
          <a:schemeClr val="accent2">
            <a:lumMod val="45000"/>
            <a:lumOff val="55000"/>
          </a:schemeClr>
        </a:gs>
        <a:gs pos="100000">
          <a:schemeClr val="accent2">
            <a:lumMod val="45000"/>
            <a:lumOff val="55000"/>
          </a:schemeClr>
        </a:gs>
        <a:gs pos="100000">
          <a:schemeClr val="accent2">
            <a:lumMod val="30000"/>
            <a:lumOff val="70000"/>
          </a:schemeClr>
        </a:gs>
      </a:gsLst>
      <a:lin ang="5400000" scaled="1"/>
      <a:tileRect/>
    </a:gra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'Scenarios Comparison'!$D$2</c:f>
              <c:strCache>
                <c:ptCount val="1"/>
                <c:pt idx="0">
                  <c:v>CAGR</c:v>
                </c:pt>
              </c:strCache>
            </c:strRef>
          </c:tx>
          <c:spPr>
            <a:solidFill>
              <a:schemeClr val="tx1">
                <a:lumMod val="50000"/>
                <a:lumOff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'Scenarios Comparison'!$A$3:$A$5</c:f>
              <c:strCache>
                <c:ptCount val="3"/>
                <c:pt idx="0">
                  <c:v>Scenario 1</c:v>
                </c:pt>
                <c:pt idx="1">
                  <c:v>Scenario 2</c:v>
                </c:pt>
                <c:pt idx="2">
                  <c:v>Scenario 3</c:v>
                </c:pt>
              </c:strCache>
            </c:strRef>
          </c:cat>
          <c:val>
            <c:numRef>
              <c:f>'Scenarios Comparison'!$D$3:$D$5</c:f>
              <c:numCache>
                <c:formatCode>0%</c:formatCode>
                <c:ptCount val="3"/>
                <c:pt idx="0">
                  <c:v>-0.15</c:v>
                </c:pt>
                <c:pt idx="1">
                  <c:v>0.1</c:v>
                </c:pt>
                <c:pt idx="2">
                  <c:v>0.2</c:v>
                </c:pt>
              </c:numCache>
            </c:numRef>
          </c:val>
          <c:extLst>
            <c:ext xmlns:c16="http://schemas.microsoft.com/office/drawing/2014/chart" uri="{C3380CC4-5D6E-409C-BE32-E72D297353CC}">
              <c16:uniqueId val="{00000000-1860-4D04-B029-0CA870BC7F2F}"/>
            </c:ext>
          </c:extLst>
        </c:ser>
        <c:dLbls>
          <c:dLblPos val="inEnd"/>
          <c:showLegendKey val="0"/>
          <c:showVal val="1"/>
          <c:showCatName val="0"/>
          <c:showSerName val="0"/>
          <c:showPercent val="0"/>
          <c:showBubbleSize val="0"/>
        </c:dLbls>
        <c:gapWidth val="65"/>
        <c:axId val="332231400"/>
        <c:axId val="332226480"/>
      </c:barChart>
      <c:catAx>
        <c:axId val="3322314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2226480"/>
        <c:crosses val="autoZero"/>
        <c:auto val="1"/>
        <c:lblAlgn val="ctr"/>
        <c:lblOffset val="100"/>
        <c:noMultiLvlLbl val="0"/>
      </c:catAx>
      <c:valAx>
        <c:axId val="332226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3223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457200</xdr:colOff>
      <xdr:row>0</xdr:row>
      <xdr:rowOff>68580</xdr:rowOff>
    </xdr:from>
    <xdr:to>
      <xdr:col>9</xdr:col>
      <xdr:colOff>419100</xdr:colOff>
      <xdr:row>37</xdr:row>
      <xdr:rowOff>15240</xdr:rowOff>
    </xdr:to>
    <xdr:sp macro="" textlink="">
      <xdr:nvSpPr>
        <xdr:cNvPr id="2" name="TextBox 1">
          <a:extLst>
            <a:ext uri="{FF2B5EF4-FFF2-40B4-BE49-F238E27FC236}">
              <a16:creationId xmlns:a16="http://schemas.microsoft.com/office/drawing/2014/main" id="{4C5BE4DC-7C13-4C33-A73D-7BF7FCBC805E}"/>
            </a:ext>
          </a:extLst>
        </xdr:cNvPr>
        <xdr:cNvSpPr txBox="1"/>
      </xdr:nvSpPr>
      <xdr:spPr>
        <a:xfrm>
          <a:off x="457200" y="68580"/>
          <a:ext cx="7642860" cy="727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To: CFO</a:t>
          </a:r>
          <a:endParaRPr lang="en-US">
            <a:effectLst/>
          </a:endParaRPr>
        </a:p>
        <a:p>
          <a:r>
            <a:rPr lang="en-US" sz="1100" b="1">
              <a:solidFill>
                <a:schemeClr val="dk1"/>
              </a:solidFill>
              <a:effectLst/>
              <a:latin typeface="+mn-lt"/>
              <a:ea typeface="+mn-ea"/>
              <a:cs typeface="+mn-cs"/>
            </a:rPr>
            <a:t>From: Young Seok Seo</a:t>
          </a:r>
          <a:endParaRPr lang="en-US">
            <a:effectLst/>
          </a:endParaRPr>
        </a:p>
        <a:p>
          <a:r>
            <a:rPr lang="en-US" sz="1100" b="1">
              <a:solidFill>
                <a:schemeClr val="dk1"/>
              </a:solidFill>
              <a:effectLst/>
              <a:latin typeface="+mn-lt"/>
              <a:ea typeface="+mn-ea"/>
              <a:cs typeface="+mn-cs"/>
            </a:rPr>
            <a:t>Subject: Financial Model </a:t>
          </a:r>
          <a:endParaRPr lang="en-US">
            <a:effectLst/>
          </a:endParaRPr>
        </a:p>
        <a:p>
          <a:endParaRPr lang="en-US" sz="1100"/>
        </a:p>
        <a:p>
          <a:r>
            <a:rPr lang="en-US" sz="1100" b="0" u="sng"/>
            <a:t>Introduction</a:t>
          </a:r>
        </a:p>
        <a:p>
          <a:r>
            <a:rPr lang="en-US" sz="1100" b="0" u="none"/>
            <a:t>A financial modeling</a:t>
          </a:r>
          <a:r>
            <a:rPr lang="en-US" sz="1100" b="0" u="none" baseline="0"/>
            <a:t> worksheet was provided, from which we modified to show the calculations of different chosen scenarios. </a:t>
          </a:r>
          <a:r>
            <a:rPr lang="en-US" sz="1100" b="0" u="none"/>
            <a:t>The</a:t>
          </a:r>
          <a:r>
            <a:rPr lang="en-US" sz="1100" b="0" u="none" baseline="0"/>
            <a:t> Data Validation tool was used to create a dropdown list for choosing a number scenario. Given the scenario information, IF statements were created to update the scenario when it is changed. NPV and IRR functions were used to calculate the NPV and IRR using the given Leveraged Free Cash Flows.</a:t>
          </a:r>
          <a:endParaRPr lang="en-US" sz="1100" b="0" u="none"/>
        </a:p>
        <a:p>
          <a:endParaRPr lang="en-US" sz="1100" b="0" u="none"/>
        </a:p>
        <a:p>
          <a:r>
            <a:rPr lang="en-US" sz="1100" b="0" u="sng"/>
            <a:t>Financial Analysis</a:t>
          </a:r>
          <a:endParaRPr lang="en-US" sz="1100" b="0" u="none" baseline="0"/>
        </a:p>
        <a:p>
          <a:r>
            <a:rPr lang="en-US" sz="1100" b="0" u="none"/>
            <a:t>Looking at the three different scenarios,</a:t>
          </a:r>
          <a:r>
            <a:rPr lang="en-US" sz="1100" b="0" u="none" baseline="0"/>
            <a:t> scenario 3 is the best choice to follow given the operating assumptions given in the FMSA worksheet. It boasts the largest levered cash flows, after calculating all revenues and operating expenses, resulting in having the largest NPV, IRR, as well as CAGR. From the charts to the right, we can see that scenario 3 produced an NPV of just over 56k, an IRR of 23%, and a CAGR of 20%. Scenario 3's main factor that contributed to its significantly higher profitability is its 20% revenue growth %.</a:t>
          </a:r>
        </a:p>
        <a:p>
          <a:endParaRPr lang="en-US" sz="1100" b="0" u="none" baseline="0"/>
        </a:p>
        <a:p>
          <a:r>
            <a:rPr lang="en-US" sz="1100" b="0" u="none" baseline="0"/>
            <a:t>Comparatively, scenario 1 lagged behind in all these categories with its NPV at 18k, IRR at 13%, and even a negative CAGR of -15%. The return on financial model 1 resulted in a negative annual return. These were a result of higher projected </a:t>
          </a:r>
          <a:r>
            <a:rPr lang="en-US" sz="1100" b="0" i="0" u="none" strike="noStrike">
              <a:solidFill>
                <a:schemeClr val="dk1"/>
              </a:solidFill>
              <a:effectLst/>
              <a:latin typeface="+mn-lt"/>
              <a:ea typeface="+mn-ea"/>
              <a:cs typeface="+mn-cs"/>
            </a:rPr>
            <a:t>EV / Revenue,</a:t>
          </a:r>
          <a:r>
            <a:rPr lang="en-US" b="0"/>
            <a:t> </a:t>
          </a:r>
          <a:r>
            <a:rPr lang="en-US" sz="1100" b="0" i="0" u="none" strike="noStrike">
              <a:solidFill>
                <a:schemeClr val="dk1"/>
              </a:solidFill>
              <a:effectLst/>
              <a:latin typeface="+mn-lt"/>
              <a:ea typeface="+mn-ea"/>
              <a:cs typeface="+mn-cs"/>
            </a:rPr>
            <a:t>EV / EBIT,</a:t>
          </a:r>
          <a:r>
            <a:rPr lang="en-US" b="0"/>
            <a:t> </a:t>
          </a:r>
          <a:r>
            <a:rPr lang="en-US" sz="1100" b="0" i="0" u="none" strike="noStrike">
              <a:solidFill>
                <a:schemeClr val="dk1"/>
              </a:solidFill>
              <a:effectLst/>
              <a:latin typeface="+mn-lt"/>
              <a:ea typeface="+mn-ea"/>
              <a:cs typeface="+mn-cs"/>
            </a:rPr>
            <a:t>EV / EBITDA, Equity Value / FCF,</a:t>
          </a:r>
          <a:r>
            <a:rPr lang="en-US" b="0"/>
            <a:t> </a:t>
          </a:r>
          <a:r>
            <a:rPr lang="en-US" sz="1100" b="0" i="0" u="none" strike="noStrike">
              <a:solidFill>
                <a:schemeClr val="dk1"/>
              </a:solidFill>
              <a:effectLst/>
              <a:latin typeface="+mn-lt"/>
              <a:ea typeface="+mn-ea"/>
              <a:cs typeface="+mn-cs"/>
            </a:rPr>
            <a:t>P / E, and</a:t>
          </a:r>
          <a:r>
            <a:rPr lang="en-US" b="0"/>
            <a:t> </a:t>
          </a:r>
          <a:r>
            <a:rPr lang="en-US" sz="1100" b="0" i="0" u="none" strike="noStrike">
              <a:solidFill>
                <a:schemeClr val="dk1"/>
              </a:solidFill>
              <a:effectLst/>
              <a:latin typeface="+mn-lt"/>
              <a:ea typeface="+mn-ea"/>
              <a:cs typeface="+mn-cs"/>
            </a:rPr>
            <a:t>P / BV.</a:t>
          </a:r>
          <a:r>
            <a:rPr lang="en-US" b="0"/>
            <a:t> In turn, generating lower projected</a:t>
          </a:r>
          <a:r>
            <a:rPr lang="en-US" b="0" baseline="0"/>
            <a:t> revenues, less operating income, and lower EPS as well as BV. For example, the BV of projected 2018 in scenario 1 was </a:t>
          </a:r>
          <a:r>
            <a:rPr lang="en-US" sz="1100" b="0" i="0" u="none" strike="noStrike">
              <a:solidFill>
                <a:schemeClr val="dk1"/>
              </a:solidFill>
              <a:effectLst/>
              <a:latin typeface="+mn-lt"/>
              <a:ea typeface="+mn-ea"/>
              <a:cs typeface="+mn-cs"/>
            </a:rPr>
            <a:t>$48.68 while the projected BV</a:t>
          </a:r>
          <a:r>
            <a:rPr lang="en-US" sz="1100" b="0" i="0" u="none" strike="noStrike" baseline="0">
              <a:solidFill>
                <a:schemeClr val="dk1"/>
              </a:solidFill>
              <a:effectLst/>
              <a:latin typeface="+mn-lt"/>
              <a:ea typeface="+mn-ea"/>
              <a:cs typeface="+mn-cs"/>
            </a:rPr>
            <a:t> in scenario 3 was $</a:t>
          </a:r>
          <a:r>
            <a:rPr lang="en-US" sz="1100" b="0" i="0" u="none" strike="noStrike">
              <a:solidFill>
                <a:schemeClr val="dk1"/>
              </a:solidFill>
              <a:effectLst/>
              <a:latin typeface="+mn-lt"/>
              <a:ea typeface="+mn-ea"/>
              <a:cs typeface="+mn-cs"/>
            </a:rPr>
            <a:t>53.31. The net income</a:t>
          </a:r>
          <a:r>
            <a:rPr lang="en-US" sz="1100" b="0" i="0" u="none" strike="noStrike" baseline="0">
              <a:solidFill>
                <a:schemeClr val="dk1"/>
              </a:solidFill>
              <a:effectLst/>
              <a:latin typeface="+mn-lt"/>
              <a:ea typeface="+mn-ea"/>
              <a:cs typeface="+mn-cs"/>
            </a:rPr>
            <a:t> of was $4133m lower in model one compared to model 3 from year 2018. The difference becomes even more pronounced throughout future projected years, jumping to $18,512m in FY2022. The same is true for leveraged free cash flows, there is a significant increase through projected years.</a:t>
          </a:r>
        </a:p>
        <a:p>
          <a:endParaRPr lang="en-US" sz="1100" b="0" u="none"/>
        </a:p>
        <a:p>
          <a:r>
            <a:rPr lang="en-US" sz="1100" b="0" u="sng"/>
            <a:t>Recommendations</a:t>
          </a:r>
        </a:p>
        <a:p>
          <a:r>
            <a:rPr lang="en-US" sz="1100" b="0" u="none"/>
            <a:t>Scenario 1 should be avoided, as having</a:t>
          </a:r>
          <a:r>
            <a:rPr lang="en-US" sz="1100" b="0" u="none" baseline="0"/>
            <a:t> a negative CAGR means that the ending value of the company's stock is lower than the beginning value. With profits being reinvested, this is highly detrimental to the company as the growth rate is negative even though higher profits are getting reinvested. There are limitations to making judgements from only CAGR, such as it not accounting investment risk into account, which is why we look at the other values we calculated, NPV, and IRR. Scenario 1 is lagging behind in both of these values as well, at only 32% the NPV of scenario 3, and 56% the IRR of scenario 3, 13% compared to 23%. </a:t>
          </a:r>
        </a:p>
        <a:p>
          <a:endParaRPr lang="en-US" sz="1100" b="0" u="none" baseline="0"/>
        </a:p>
        <a:p>
          <a:r>
            <a:rPr lang="en-US" sz="1100" b="0" u="none" baseline="0"/>
            <a:t>The company should actively avoid the situation depicted in the first financial model, and strive to achieve the third financial model. To do this, we should focus on increasing revenue, either by increasing the number of customers we have, pushing more transactions per customer, or finding a better price to entice more customers. This in turn will lead to higher EPS, encouraging further investors to contribute to us monetarily.</a:t>
          </a:r>
        </a:p>
        <a:p>
          <a:endParaRPr lang="en-US" sz="1100" b="0" u="none" baseline="0"/>
        </a:p>
        <a:p>
          <a:r>
            <a:rPr lang="en-US" sz="1100" b="0" u="none" baseline="0"/>
            <a:t>In addition, from the investing activities table shown below, in financial years 2015-2017, all the securities the company invested in resulted in a loss. All the proceeds from maturities heavily outweigh the investment put in. From years 2018 onward we project to finance. We should continue to do that, at least over continuing with our current investments. A better solution would be to find risk-free securities, such as treasury bonds and then to move into a low turnover fund, like a large index fund to invest in to guarantee a net gain. Investments will be a large part in the profitability of the company. </a:t>
          </a:r>
          <a:endParaRPr lang="en-US" sz="1100" b="0" u="none"/>
        </a:p>
        <a:p>
          <a:endParaRPr lang="en-US" sz="1100" b="0" u="none"/>
        </a:p>
        <a:p>
          <a:endParaRPr lang="en-US" sz="1100" b="0" u="none"/>
        </a:p>
        <a:p>
          <a:endParaRPr lang="en-US" sz="1100" b="0" u="none"/>
        </a:p>
      </xdr:txBody>
    </xdr:sp>
    <xdr:clientData/>
  </xdr:twoCellAnchor>
  <xdr:twoCellAnchor>
    <xdr:from>
      <xdr:col>10</xdr:col>
      <xdr:colOff>822960</xdr:colOff>
      <xdr:row>1</xdr:row>
      <xdr:rowOff>30480</xdr:rowOff>
    </xdr:from>
    <xdr:to>
      <xdr:col>15</xdr:col>
      <xdr:colOff>445770</xdr:colOff>
      <xdr:row>13</xdr:row>
      <xdr:rowOff>121920</xdr:rowOff>
    </xdr:to>
    <xdr:graphicFrame macro="">
      <xdr:nvGraphicFramePr>
        <xdr:cNvPr id="3" name="Chart 2">
          <a:extLst>
            <a:ext uri="{FF2B5EF4-FFF2-40B4-BE49-F238E27FC236}">
              <a16:creationId xmlns:a16="http://schemas.microsoft.com/office/drawing/2014/main" id="{87BF471F-9484-4EDF-8212-5B8A02219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784860</xdr:colOff>
      <xdr:row>14</xdr:row>
      <xdr:rowOff>53340</xdr:rowOff>
    </xdr:from>
    <xdr:to>
      <xdr:col>15</xdr:col>
      <xdr:colOff>365760</xdr:colOff>
      <xdr:row>27</xdr:row>
      <xdr:rowOff>53340</xdr:rowOff>
    </xdr:to>
    <xdr:graphicFrame macro="">
      <xdr:nvGraphicFramePr>
        <xdr:cNvPr id="4" name="Chart 3">
          <a:extLst>
            <a:ext uri="{FF2B5EF4-FFF2-40B4-BE49-F238E27FC236}">
              <a16:creationId xmlns:a16="http://schemas.microsoft.com/office/drawing/2014/main" id="{81CCD7F8-8B1C-4C6B-A3E7-50F727C2C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28</xdr:row>
      <xdr:rowOff>0</xdr:rowOff>
    </xdr:from>
    <xdr:to>
      <xdr:col>15</xdr:col>
      <xdr:colOff>381000</xdr:colOff>
      <xdr:row>41</xdr:row>
      <xdr:rowOff>137160</xdr:rowOff>
    </xdr:to>
    <xdr:graphicFrame macro="">
      <xdr:nvGraphicFramePr>
        <xdr:cNvPr id="5" name="Chart 4">
          <a:extLst>
            <a:ext uri="{FF2B5EF4-FFF2-40B4-BE49-F238E27FC236}">
              <a16:creationId xmlns:a16="http://schemas.microsoft.com/office/drawing/2014/main" id="{1A129CEB-30BE-41A2-9FCA-543445242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1</xdr:row>
      <xdr:rowOff>95250</xdr:rowOff>
    </xdr:from>
    <xdr:to>
      <xdr:col>8</xdr:col>
      <xdr:colOff>523875</xdr:colOff>
      <xdr:row>28</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28600" y="295275"/>
          <a:ext cx="5781675" cy="535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200">
              <a:solidFill>
                <a:schemeClr val="dk1"/>
              </a:solidFill>
              <a:effectLst/>
              <a:latin typeface="+mn-lt"/>
              <a:ea typeface="+mn-ea"/>
              <a:cs typeface="+mn-cs"/>
            </a:rPr>
            <a:t>Copyright Michael Nugent ©</a:t>
          </a:r>
          <a:r>
            <a:rPr lang="en-US" sz="1200" baseline="0">
              <a:solidFill>
                <a:schemeClr val="dk1"/>
              </a:solidFill>
              <a:effectLst/>
              <a:latin typeface="+mn-lt"/>
              <a:ea typeface="+mn-ea"/>
              <a:cs typeface="+mn-cs"/>
            </a:rPr>
            <a:t> </a:t>
          </a:r>
          <a:endParaRPr lang="en-US" sz="1200">
            <a:effectLst/>
          </a:endParaRPr>
        </a:p>
        <a:p>
          <a:r>
            <a:rPr lang="en-US" sz="1200" b="1">
              <a:solidFill>
                <a:schemeClr val="dk1"/>
              </a:solidFill>
              <a:effectLst/>
              <a:latin typeface="+mn-lt"/>
              <a:ea typeface="+mn-ea"/>
              <a:cs typeface="+mn-cs"/>
            </a:rPr>
            <a:t>MEMO </a:t>
          </a:r>
          <a:endParaRPr lang="en-US" sz="1200">
            <a:effectLst/>
          </a:endParaRPr>
        </a:p>
        <a:p>
          <a:r>
            <a:rPr lang="en-US" sz="1200" b="1">
              <a:solidFill>
                <a:schemeClr val="dk1"/>
              </a:solidFill>
              <a:effectLst/>
              <a:latin typeface="+mn-lt"/>
              <a:ea typeface="+mn-ea"/>
              <a:cs typeface="+mn-cs"/>
            </a:rPr>
            <a:t>To: Financial Analyst Employee</a:t>
          </a:r>
          <a:endParaRPr lang="en-US" sz="1200">
            <a:effectLst/>
          </a:endParaRPr>
        </a:p>
        <a:p>
          <a:r>
            <a:rPr lang="en-US" sz="1200" b="1">
              <a:solidFill>
                <a:schemeClr val="dk1"/>
              </a:solidFill>
              <a:effectLst/>
              <a:latin typeface="+mn-lt"/>
              <a:ea typeface="+mn-ea"/>
              <a:cs typeface="+mn-cs"/>
            </a:rPr>
            <a:t>From: CFO</a:t>
          </a:r>
          <a:endParaRPr lang="en-US" sz="1200">
            <a:effectLst/>
          </a:endParaRPr>
        </a:p>
        <a:p>
          <a:r>
            <a:rPr lang="en-US" sz="1200" b="1">
              <a:solidFill>
                <a:schemeClr val="dk1"/>
              </a:solidFill>
              <a:effectLst/>
              <a:latin typeface="+mn-lt"/>
              <a:ea typeface="+mn-ea"/>
              <a:cs typeface="+mn-cs"/>
            </a:rPr>
            <a:t>Subject: Financial Model </a:t>
          </a:r>
        </a:p>
        <a:p>
          <a:endParaRPr lang="en-US" sz="1200" b="1">
            <a:solidFill>
              <a:schemeClr val="dk1"/>
            </a:solidFill>
            <a:effectLst/>
            <a:latin typeface="+mn-lt"/>
            <a:ea typeface="+mn-ea"/>
            <a:cs typeface="+mn-cs"/>
          </a:endParaRPr>
        </a:p>
        <a:p>
          <a:endParaRPr lang="en-US" sz="1200" b="1">
            <a:solidFill>
              <a:schemeClr val="dk1"/>
            </a:solidFill>
            <a:effectLst/>
            <a:latin typeface="+mn-lt"/>
            <a:ea typeface="+mn-ea"/>
            <a:cs typeface="+mn-cs"/>
          </a:endParaRPr>
        </a:p>
        <a:p>
          <a:r>
            <a:rPr lang="en-US" sz="1200" b="1">
              <a:solidFill>
                <a:schemeClr val="dk1"/>
              </a:solidFill>
              <a:effectLst/>
              <a:latin typeface="+mn-lt"/>
              <a:ea typeface="+mn-ea"/>
              <a:cs typeface="+mn-cs"/>
            </a:rPr>
            <a:t>1) Follow the instructions to complete the financial modeling worksheet "FMSA"</a:t>
          </a:r>
        </a:p>
        <a:p>
          <a:endParaRPr lang="en-US" sz="1200" b="1">
            <a:solidFill>
              <a:schemeClr val="dk1"/>
            </a:solidFill>
            <a:effectLst/>
            <a:latin typeface="+mn-lt"/>
            <a:ea typeface="+mn-ea"/>
            <a:cs typeface="+mn-cs"/>
          </a:endParaRPr>
        </a:p>
        <a:p>
          <a:r>
            <a:rPr lang="en-US" sz="1200" b="1"/>
            <a:t>Use if statements and data validation to calculate three scenarios for this financial model. </a:t>
          </a:r>
        </a:p>
        <a:p>
          <a:endParaRPr lang="en-US" sz="1200" b="1"/>
        </a:p>
        <a:p>
          <a:r>
            <a:rPr lang="en-US" sz="1200" b="1"/>
            <a:t>The</a:t>
          </a:r>
          <a:r>
            <a:rPr lang="en-US" sz="1200" b="1" baseline="0"/>
            <a:t> goal is to use if statements to connect to t</a:t>
          </a:r>
          <a:r>
            <a:rPr lang="en-US" sz="1200" b="1"/>
            <a:t>he Scenario box.</a:t>
          </a:r>
          <a:r>
            <a:rPr lang="en-US" sz="1200" b="1" baseline="0"/>
            <a:t> </a:t>
          </a:r>
          <a:r>
            <a:rPr lang="en-US" sz="1200" b="1"/>
            <a:t> When</a:t>
          </a:r>
          <a:r>
            <a:rPr lang="en-US" sz="1200" b="1" baseline="0"/>
            <a:t> </a:t>
          </a:r>
          <a:r>
            <a:rPr lang="en-US" sz="1200" b="1"/>
            <a:t>cell L15</a:t>
          </a:r>
          <a:r>
            <a:rPr lang="en-US" sz="1200" b="1" baseline="0"/>
            <a:t> is changed between 1,2,3 this will trigger the if statements to automatically update the financial model.  Use Data Validation in cell L15 to create a list pull down for (1,2,3).</a:t>
          </a:r>
        </a:p>
        <a:p>
          <a:endParaRPr lang="en-US" sz="1200" b="1"/>
        </a:p>
        <a:p>
          <a:r>
            <a:rPr lang="en-US" sz="1200" b="1"/>
            <a:t>Use</a:t>
          </a:r>
          <a:r>
            <a:rPr lang="en-US" sz="1200" b="1" baseline="0"/>
            <a:t> the scenario information  to create if statements for rows 48-51 highlighted in </a:t>
          </a:r>
          <a:r>
            <a:rPr lang="en-US" sz="1200" b="1" baseline="0">
              <a:solidFill>
                <a:schemeClr val="tx1"/>
              </a:solidFill>
            </a:rPr>
            <a:t>yellow. </a:t>
          </a:r>
          <a:endParaRPr lang="en-US" sz="1200" b="1" baseline="0">
            <a:solidFill>
              <a:srgbClr val="FFFF00"/>
            </a:solidFill>
          </a:endParaRPr>
        </a:p>
        <a:p>
          <a:endParaRPr lang="en-US" sz="1200" b="1" baseline="0"/>
        </a:p>
        <a:p>
          <a:r>
            <a:rPr lang="en-US" sz="1200" b="1" baseline="0"/>
            <a:t>Calculate NPV and IRR based on Leveraged free cash flow (row 101), see comment in cell K17.</a:t>
          </a:r>
        </a:p>
        <a:p>
          <a:endParaRPr lang="en-US" sz="1200" b="1">
            <a:solidFill>
              <a:schemeClr val="dk1"/>
            </a:solidFill>
            <a:effectLst/>
            <a:latin typeface="+mn-lt"/>
            <a:ea typeface="+mn-ea"/>
            <a:cs typeface="+mn-cs"/>
          </a:endParaRPr>
        </a:p>
        <a:p>
          <a:r>
            <a:rPr lang="en-US" sz="1200" b="1">
              <a:solidFill>
                <a:schemeClr val="dk1"/>
              </a:solidFill>
              <a:effectLst/>
              <a:latin typeface="+mn-lt"/>
              <a:ea typeface="+mn-ea"/>
              <a:cs typeface="+mn-cs"/>
            </a:rPr>
            <a:t>2)</a:t>
          </a:r>
          <a:r>
            <a:rPr lang="en-US" sz="1200" b="1" baseline="0">
              <a:solidFill>
                <a:schemeClr val="dk1"/>
              </a:solidFill>
              <a:effectLst/>
              <a:latin typeface="+mn-lt"/>
              <a:ea typeface="+mn-ea"/>
              <a:cs typeface="+mn-cs"/>
            </a:rPr>
            <a:t> Create an executive summary  to analyze each of the scenarios 1,2,3 </a:t>
          </a:r>
        </a:p>
        <a:p>
          <a:endParaRPr lang="en-US" sz="1200" b="1" baseline="0">
            <a:solidFill>
              <a:schemeClr val="dk1"/>
            </a:solidFill>
            <a:effectLst/>
            <a:latin typeface="+mn-lt"/>
            <a:ea typeface="+mn-ea"/>
            <a:cs typeface="+mn-cs"/>
          </a:endParaRPr>
        </a:p>
        <a:p>
          <a:r>
            <a:rPr lang="en-US" sz="1200" b="1" baseline="0">
              <a:solidFill>
                <a:schemeClr val="dk1"/>
              </a:solidFill>
              <a:effectLst/>
              <a:latin typeface="+mn-lt"/>
              <a:ea typeface="+mn-ea"/>
              <a:cs typeface="+mn-cs"/>
            </a:rPr>
            <a:t>3) Make sure you create charts or graphs and place them in the executive summary. </a:t>
          </a:r>
        </a:p>
        <a:p>
          <a:endParaRPr lang="en-US" sz="1100" b="1" baseline="0">
            <a:solidFill>
              <a:schemeClr val="dk1"/>
            </a:solidFill>
            <a:effectLst/>
            <a:latin typeface="+mn-lt"/>
            <a:ea typeface="+mn-ea"/>
            <a:cs typeface="+mn-cs"/>
          </a:endParaRPr>
        </a:p>
        <a:p>
          <a:endParaRPr lang="en-US" sz="1100" b="1" baseline="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152400</xdr:colOff>
      <xdr:row>4</xdr:row>
      <xdr:rowOff>88900</xdr:rowOff>
    </xdr:from>
    <xdr:to>
      <xdr:col>23</xdr:col>
      <xdr:colOff>419100</xdr:colOff>
      <xdr:row>22</xdr:row>
      <xdr:rowOff>165100</xdr:rowOff>
    </xdr:to>
    <xdr:sp macro="" textlink="">
      <xdr:nvSpPr>
        <xdr:cNvPr id="2" name="TextBox 1">
          <a:extLst>
            <a:ext uri="{FF2B5EF4-FFF2-40B4-BE49-F238E27FC236}">
              <a16:creationId xmlns:a16="http://schemas.microsoft.com/office/drawing/2014/main" id="{E826F42B-AAE3-0745-94AD-9EA328991178}"/>
            </a:ext>
          </a:extLst>
        </xdr:cNvPr>
        <xdr:cNvSpPr txBox="1"/>
      </xdr:nvSpPr>
      <xdr:spPr>
        <a:xfrm>
          <a:off x="11074400" y="901700"/>
          <a:ext cx="7696200" cy="38481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Use if statements to create three scenarios for this financial model. </a:t>
          </a:r>
        </a:p>
        <a:p>
          <a:endParaRPr lang="en-US" sz="2000"/>
        </a:p>
        <a:p>
          <a:r>
            <a:rPr lang="en-US" sz="2000"/>
            <a:t>The</a:t>
          </a:r>
          <a:r>
            <a:rPr lang="en-US" sz="2000" baseline="0"/>
            <a:t> goal is to use if statements to connect to t</a:t>
          </a:r>
          <a:r>
            <a:rPr lang="en-US" sz="2000"/>
            <a:t>he Scenario box.</a:t>
          </a:r>
          <a:r>
            <a:rPr lang="en-US" sz="2000" baseline="0"/>
            <a:t> </a:t>
          </a:r>
          <a:r>
            <a:rPr lang="en-US" sz="2000"/>
            <a:t> When</a:t>
          </a:r>
          <a:r>
            <a:rPr lang="en-US" sz="2000" baseline="0"/>
            <a:t> </a:t>
          </a:r>
          <a:r>
            <a:rPr lang="en-US" sz="2000"/>
            <a:t>cell L15</a:t>
          </a:r>
          <a:r>
            <a:rPr lang="en-US" sz="2000" baseline="0"/>
            <a:t> is changed between 1,2,3 this will trigger the if statements to automatically update the financial model.  Use Data Validation </a:t>
          </a:r>
        </a:p>
        <a:p>
          <a:endParaRPr lang="en-US" sz="2000"/>
        </a:p>
        <a:p>
          <a:r>
            <a:rPr lang="en-US" sz="2000"/>
            <a:t>Use</a:t>
          </a:r>
          <a:r>
            <a:rPr lang="en-US" sz="2000" baseline="0"/>
            <a:t> the scenario information below to create if statements for rows 48-51 highlighted in </a:t>
          </a:r>
          <a:r>
            <a:rPr lang="en-US" sz="2000" baseline="0">
              <a:solidFill>
                <a:schemeClr val="tx1"/>
              </a:solidFill>
            </a:rPr>
            <a:t>yellow. </a:t>
          </a:r>
          <a:endParaRPr lang="en-US" sz="2000" baseline="0">
            <a:solidFill>
              <a:srgbClr val="FFFF00"/>
            </a:solidFill>
          </a:endParaRPr>
        </a:p>
        <a:p>
          <a:endParaRPr lang="en-US" sz="2000" baseline="0"/>
        </a:p>
        <a:p>
          <a:r>
            <a:rPr lang="en-US" sz="2000" baseline="0"/>
            <a:t>Calculate NPV and IRR based on Leveraged free cash flow (row 101), see comment in cell K17.</a:t>
          </a:r>
        </a:p>
        <a:p>
          <a:r>
            <a:rPr lang="en-US" sz="2000" baseline="0"/>
            <a:t>Please create an Executive Summary</a:t>
          </a:r>
        </a:p>
      </xdr:txBody>
    </xdr:sp>
    <xdr:clientData/>
  </xdr:twoCellAnchor>
  <xdr:twoCellAnchor>
    <xdr:from>
      <xdr:col>12</xdr:col>
      <xdr:colOff>825500</xdr:colOff>
      <xdr:row>16</xdr:row>
      <xdr:rowOff>114300</xdr:rowOff>
    </xdr:from>
    <xdr:to>
      <xdr:col>16</xdr:col>
      <xdr:colOff>495300</xdr:colOff>
      <xdr:row>46</xdr:row>
      <xdr:rowOff>190500</xdr:rowOff>
    </xdr:to>
    <xdr:cxnSp macro="">
      <xdr:nvCxnSpPr>
        <xdr:cNvPr id="3" name="Straight Arrow Connector 2">
          <a:extLst>
            <a:ext uri="{FF2B5EF4-FFF2-40B4-BE49-F238E27FC236}">
              <a16:creationId xmlns:a16="http://schemas.microsoft.com/office/drawing/2014/main" id="{169279C0-182D-8D4A-9D2D-3706FE9D2A45}"/>
            </a:ext>
          </a:extLst>
        </xdr:cNvPr>
        <xdr:cNvCxnSpPr/>
      </xdr:nvCxnSpPr>
      <xdr:spPr>
        <a:xfrm flipH="1">
          <a:off x="10071100" y="3467100"/>
          <a:ext cx="2997200" cy="6273800"/>
        </a:xfrm>
        <a:prstGeom prst="straightConnector1">
          <a:avLst/>
        </a:prstGeom>
        <a:ln w="825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8</xdr:row>
      <xdr:rowOff>25400</xdr:rowOff>
    </xdr:from>
    <xdr:to>
      <xdr:col>14</xdr:col>
      <xdr:colOff>241300</xdr:colOff>
      <xdr:row>13</xdr:row>
      <xdr:rowOff>127000</xdr:rowOff>
    </xdr:to>
    <xdr:cxnSp macro="">
      <xdr:nvCxnSpPr>
        <xdr:cNvPr id="4" name="Straight Arrow Connector 3">
          <a:extLst>
            <a:ext uri="{FF2B5EF4-FFF2-40B4-BE49-F238E27FC236}">
              <a16:creationId xmlns:a16="http://schemas.microsoft.com/office/drawing/2014/main" id="{0AC6624C-C213-2D4B-A1A9-FB2F89495980}"/>
            </a:ext>
          </a:extLst>
        </xdr:cNvPr>
        <xdr:cNvCxnSpPr/>
      </xdr:nvCxnSpPr>
      <xdr:spPr>
        <a:xfrm flipH="1">
          <a:off x="10081260" y="1816100"/>
          <a:ext cx="1894840" cy="1099820"/>
        </a:xfrm>
        <a:prstGeom prst="straightConnector1">
          <a:avLst/>
        </a:prstGeom>
        <a:ln w="825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165100</xdr:colOff>
      <xdr:row>15</xdr:row>
      <xdr:rowOff>25400</xdr:rowOff>
    </xdr:from>
    <xdr:to>
      <xdr:col>18</xdr:col>
      <xdr:colOff>279400</xdr:colOff>
      <xdr:row>23</xdr:row>
      <xdr:rowOff>114300</xdr:rowOff>
    </xdr:to>
    <xdr:cxnSp macro="">
      <xdr:nvCxnSpPr>
        <xdr:cNvPr id="5" name="Straight Arrow Connector 4">
          <a:extLst>
            <a:ext uri="{FF2B5EF4-FFF2-40B4-BE49-F238E27FC236}">
              <a16:creationId xmlns:a16="http://schemas.microsoft.com/office/drawing/2014/main" id="{C9E36384-3EC7-0F4F-AAB3-0679699B5C8A}"/>
            </a:ext>
          </a:extLst>
        </xdr:cNvPr>
        <xdr:cNvCxnSpPr/>
      </xdr:nvCxnSpPr>
      <xdr:spPr>
        <a:xfrm flipH="1">
          <a:off x="14389100" y="3162300"/>
          <a:ext cx="114300" cy="1739900"/>
        </a:xfrm>
        <a:prstGeom prst="straightConnector1">
          <a:avLst/>
        </a:prstGeom>
        <a:ln w="635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660400</xdr:colOff>
      <xdr:row>16</xdr:row>
      <xdr:rowOff>50800</xdr:rowOff>
    </xdr:from>
    <xdr:to>
      <xdr:col>14</xdr:col>
      <xdr:colOff>101600</xdr:colOff>
      <xdr:row>18</xdr:row>
      <xdr:rowOff>177800</xdr:rowOff>
    </xdr:to>
    <xdr:cxnSp macro="">
      <xdr:nvCxnSpPr>
        <xdr:cNvPr id="6" name="Straight Arrow Connector 5">
          <a:extLst>
            <a:ext uri="{FF2B5EF4-FFF2-40B4-BE49-F238E27FC236}">
              <a16:creationId xmlns:a16="http://schemas.microsoft.com/office/drawing/2014/main" id="{0CA0E5EC-53C8-FE46-9E78-958164C99470}"/>
            </a:ext>
          </a:extLst>
        </xdr:cNvPr>
        <xdr:cNvCxnSpPr/>
      </xdr:nvCxnSpPr>
      <xdr:spPr>
        <a:xfrm flipH="1" flipV="1">
          <a:off x="9906000" y="3403600"/>
          <a:ext cx="1117600" cy="546100"/>
        </a:xfrm>
        <a:prstGeom prst="straightConnector1">
          <a:avLst/>
        </a:prstGeom>
        <a:ln w="635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7C4D9-B9AC-4540-9A0B-4DF18B5782DF}">
  <sheetPr>
    <pageSetUpPr fitToPage="1"/>
  </sheetPr>
  <dimension ref="B38:H64"/>
  <sheetViews>
    <sheetView tabSelected="1" zoomScaleNormal="100" workbookViewId="0"/>
  </sheetViews>
  <sheetFormatPr defaultColWidth="11.19921875" defaultRowHeight="15.6" x14ac:dyDescent="0.3"/>
  <sheetData>
    <row r="38" spans="2:8" ht="16.2" thickBot="1" x14ac:dyDescent="0.35"/>
    <row r="39" spans="2:8" x14ac:dyDescent="0.3">
      <c r="B39" s="203" t="s">
        <v>1</v>
      </c>
      <c r="C39" s="204"/>
      <c r="D39" s="49" t="s">
        <v>2</v>
      </c>
      <c r="E39" s="49" t="s">
        <v>3</v>
      </c>
      <c r="F39" s="49" t="s">
        <v>4</v>
      </c>
      <c r="G39" s="49" t="s">
        <v>5</v>
      </c>
      <c r="H39" s="50" t="s">
        <v>6</v>
      </c>
    </row>
    <row r="40" spans="2:8" x14ac:dyDescent="0.3">
      <c r="B40" s="53" t="s">
        <v>7</v>
      </c>
      <c r="C40" s="54"/>
      <c r="D40" s="55">
        <v>0.1</v>
      </c>
      <c r="E40" s="55">
        <v>0.11</v>
      </c>
      <c r="F40" s="55">
        <v>0.1</v>
      </c>
      <c r="G40" s="55">
        <v>0.1</v>
      </c>
      <c r="H40" s="56">
        <v>0.1</v>
      </c>
    </row>
    <row r="41" spans="2:8" x14ac:dyDescent="0.3">
      <c r="B41" s="53" t="s">
        <v>8</v>
      </c>
      <c r="C41" s="54"/>
      <c r="D41" s="55">
        <v>0.505</v>
      </c>
      <c r="E41" s="55">
        <v>0.51250000000000007</v>
      </c>
      <c r="F41" s="55">
        <v>0.52</v>
      </c>
      <c r="G41" s="55">
        <v>0.52750000000000008</v>
      </c>
      <c r="H41" s="56">
        <v>0.53500000000000003</v>
      </c>
    </row>
    <row r="42" spans="2:8" x14ac:dyDescent="0.3">
      <c r="B42" s="53" t="s">
        <v>9</v>
      </c>
      <c r="C42" s="54"/>
      <c r="D42" s="55">
        <v>0.02</v>
      </c>
      <c r="E42" s="55">
        <v>1.9310077519379847E-2</v>
      </c>
      <c r="F42" s="55">
        <v>1.9310077519379847E-2</v>
      </c>
      <c r="G42" s="55">
        <v>1.9310077519379847E-2</v>
      </c>
      <c r="H42" s="56">
        <v>1.9310077519379847E-2</v>
      </c>
    </row>
    <row r="43" spans="2:8" ht="16.2" thickBot="1" x14ac:dyDescent="0.35">
      <c r="B43" s="57" t="s">
        <v>10</v>
      </c>
      <c r="C43" s="58"/>
      <c r="D43" s="59">
        <v>0.08</v>
      </c>
      <c r="E43" s="59">
        <v>8.2937984496124037E-2</v>
      </c>
      <c r="F43" s="59">
        <v>8.2937984496124037E-2</v>
      </c>
      <c r="G43" s="59">
        <v>8.2937984496124037E-2</v>
      </c>
      <c r="H43" s="60">
        <v>8.2937984496124037E-2</v>
      </c>
    </row>
    <row r="44" spans="2:8" ht="16.2" thickBot="1" x14ac:dyDescent="0.35">
      <c r="B44" s="6"/>
      <c r="C44" s="6"/>
      <c r="D44" s="6"/>
      <c r="E44" s="6"/>
      <c r="F44" s="6"/>
      <c r="G44" s="6"/>
      <c r="H44" s="6"/>
    </row>
    <row r="45" spans="2:8" x14ac:dyDescent="0.3">
      <c r="B45" s="201" t="s">
        <v>11</v>
      </c>
      <c r="C45" s="202"/>
      <c r="D45" s="49" t="s">
        <v>2</v>
      </c>
      <c r="E45" s="49" t="s">
        <v>3</v>
      </c>
      <c r="F45" s="49" t="s">
        <v>4</v>
      </c>
      <c r="G45" s="49" t="s">
        <v>5</v>
      </c>
      <c r="H45" s="50" t="s">
        <v>6</v>
      </c>
    </row>
    <row r="46" spans="2:8" x14ac:dyDescent="0.3">
      <c r="B46" s="53" t="s">
        <v>7</v>
      </c>
      <c r="C46" s="54"/>
      <c r="D46" s="55">
        <v>0.15</v>
      </c>
      <c r="E46" s="55">
        <v>0.15</v>
      </c>
      <c r="F46" s="55">
        <v>0.15</v>
      </c>
      <c r="G46" s="55">
        <v>0.15</v>
      </c>
      <c r="H46" s="56">
        <v>0.15</v>
      </c>
    </row>
    <row r="47" spans="2:8" x14ac:dyDescent="0.3">
      <c r="B47" s="53" t="s">
        <v>8</v>
      </c>
      <c r="C47" s="54"/>
      <c r="D47" s="55">
        <v>0.48</v>
      </c>
      <c r="E47" s="55">
        <v>0.48</v>
      </c>
      <c r="F47" s="55">
        <v>0.48</v>
      </c>
      <c r="G47" s="55">
        <v>0.48</v>
      </c>
      <c r="H47" s="56">
        <v>0.48</v>
      </c>
    </row>
    <row r="48" spans="2:8" x14ac:dyDescent="0.3">
      <c r="B48" s="53" t="s">
        <v>9</v>
      </c>
      <c r="C48" s="54"/>
      <c r="D48" s="55">
        <v>1.7500000000000002E-2</v>
      </c>
      <c r="E48" s="55">
        <v>1.7500000000000002E-2</v>
      </c>
      <c r="F48" s="55">
        <v>1.7500000000000002E-2</v>
      </c>
      <c r="G48" s="55">
        <v>1.7500000000000002E-2</v>
      </c>
      <c r="H48" s="56">
        <v>1.7500000000000002E-2</v>
      </c>
    </row>
    <row r="49" spans="2:8" ht="16.2" thickBot="1" x14ac:dyDescent="0.35">
      <c r="B49" s="57" t="s">
        <v>10</v>
      </c>
      <c r="C49" s="58"/>
      <c r="D49" s="59">
        <v>7.0000000000000007E-2</v>
      </c>
      <c r="E49" s="59">
        <v>7.0000000000000007E-2</v>
      </c>
      <c r="F49" s="59">
        <v>7.0000000000000007E-2</v>
      </c>
      <c r="G49" s="59">
        <v>7.0000000000000007E-2</v>
      </c>
      <c r="H49" s="60">
        <v>7.0000000000000007E-2</v>
      </c>
    </row>
    <row r="50" spans="2:8" ht="16.2" thickBot="1" x14ac:dyDescent="0.35"/>
    <row r="51" spans="2:8" x14ac:dyDescent="0.3">
      <c r="B51" s="199" t="s">
        <v>12</v>
      </c>
      <c r="C51" s="200"/>
      <c r="D51" s="49" t="s">
        <v>2</v>
      </c>
      <c r="E51" s="49" t="s">
        <v>3</v>
      </c>
      <c r="F51" s="49" t="s">
        <v>4</v>
      </c>
      <c r="G51" s="49" t="s">
        <v>5</v>
      </c>
      <c r="H51" s="50" t="s">
        <v>6</v>
      </c>
    </row>
    <row r="52" spans="2:8" x14ac:dyDescent="0.3">
      <c r="B52" s="53" t="s">
        <v>7</v>
      </c>
      <c r="C52" s="54"/>
      <c r="D52" s="55">
        <v>0.2</v>
      </c>
      <c r="E52" s="55">
        <v>0.2</v>
      </c>
      <c r="F52" s="55">
        <v>0.2</v>
      </c>
      <c r="G52" s="55">
        <v>0.2</v>
      </c>
      <c r="H52" s="56">
        <v>0.2</v>
      </c>
    </row>
    <row r="53" spans="2:8" x14ac:dyDescent="0.3">
      <c r="B53" s="53" t="s">
        <v>8</v>
      </c>
      <c r="C53" s="54"/>
      <c r="D53" s="55">
        <v>0.46</v>
      </c>
      <c r="E53" s="55">
        <v>0.46</v>
      </c>
      <c r="F53" s="55">
        <v>0.46</v>
      </c>
      <c r="G53" s="55">
        <v>0.46</v>
      </c>
      <c r="H53" s="56">
        <v>0.46</v>
      </c>
    </row>
    <row r="54" spans="2:8" x14ac:dyDescent="0.3">
      <c r="B54" s="53" t="s">
        <v>9</v>
      </c>
      <c r="C54" s="54"/>
      <c r="D54" s="55">
        <v>1.4999999999999999E-2</v>
      </c>
      <c r="E54" s="55">
        <v>1.4999999999999999E-2</v>
      </c>
      <c r="F54" s="55">
        <v>1.4999999999999999E-2</v>
      </c>
      <c r="G54" s="55">
        <v>1.4999999999999999E-2</v>
      </c>
      <c r="H54" s="56">
        <v>1.4999999999999999E-2</v>
      </c>
    </row>
    <row r="55" spans="2:8" ht="16.2" thickBot="1" x14ac:dyDescent="0.35">
      <c r="B55" s="57" t="s">
        <v>10</v>
      </c>
      <c r="C55" s="58"/>
      <c r="D55" s="59">
        <v>0.06</v>
      </c>
      <c r="E55" s="59">
        <v>0.06</v>
      </c>
      <c r="F55" s="59">
        <v>0.06</v>
      </c>
      <c r="G55" s="59">
        <v>0.06</v>
      </c>
      <c r="H55" s="60">
        <v>0.06</v>
      </c>
    </row>
    <row r="57" spans="2:8" x14ac:dyDescent="0.3">
      <c r="B57" s="193"/>
      <c r="C57" s="195" t="s">
        <v>163</v>
      </c>
      <c r="D57" s="196"/>
      <c r="E57" s="197"/>
      <c r="F57" s="194" t="s">
        <v>181</v>
      </c>
      <c r="G57" s="190" t="s">
        <v>182</v>
      </c>
      <c r="H57" s="198" t="s">
        <v>183</v>
      </c>
    </row>
    <row r="58" spans="2:8" x14ac:dyDescent="0.3">
      <c r="B58" s="117" t="s">
        <v>164</v>
      </c>
      <c r="C58" s="179"/>
      <c r="D58" s="179"/>
      <c r="E58" s="186"/>
      <c r="F58" s="187">
        <v>-11719</v>
      </c>
      <c r="G58" s="187">
        <v>-22965</v>
      </c>
      <c r="H58" s="12">
        <v>-46724</v>
      </c>
    </row>
    <row r="59" spans="2:8" x14ac:dyDescent="0.3">
      <c r="B59" s="117" t="s">
        <v>165</v>
      </c>
      <c r="C59" s="179"/>
      <c r="D59" s="179"/>
      <c r="E59" s="179"/>
      <c r="F59" s="188">
        <f>6483+2941</f>
        <v>9424</v>
      </c>
      <c r="G59" s="188">
        <f>11804+4439</f>
        <v>16243</v>
      </c>
      <c r="H59" s="116">
        <f>19790+10888</f>
        <v>30678</v>
      </c>
    </row>
    <row r="60" spans="2:8" x14ac:dyDescent="0.3">
      <c r="B60" s="117" t="s">
        <v>166</v>
      </c>
      <c r="C60" s="179"/>
      <c r="D60" s="179"/>
      <c r="E60" s="179"/>
      <c r="F60" s="187">
        <v>-17</v>
      </c>
      <c r="G60" s="187">
        <v>-38</v>
      </c>
      <c r="H60" s="12">
        <v>-101</v>
      </c>
    </row>
    <row r="61" spans="2:8" x14ac:dyDescent="0.3">
      <c r="B61" s="117" t="s">
        <v>167</v>
      </c>
      <c r="C61" s="179"/>
      <c r="D61" s="179"/>
      <c r="E61" s="179"/>
      <c r="F61" s="187">
        <v>-735</v>
      </c>
      <c r="G61" s="187">
        <v>-1091</v>
      </c>
      <c r="H61" s="12">
        <v>-1144</v>
      </c>
    </row>
    <row r="62" spans="2:8" x14ac:dyDescent="0.3">
      <c r="B62" s="117" t="s">
        <v>168</v>
      </c>
      <c r="C62" s="179"/>
      <c r="D62" s="179"/>
      <c r="E62" s="179"/>
      <c r="F62" s="187">
        <v>-251</v>
      </c>
      <c r="G62" s="187">
        <v>-108</v>
      </c>
      <c r="H62" s="12">
        <v>-69</v>
      </c>
    </row>
    <row r="63" spans="2:8" x14ac:dyDescent="0.3">
      <c r="B63" s="117" t="s">
        <v>169</v>
      </c>
      <c r="C63" s="179"/>
      <c r="D63" s="179"/>
      <c r="E63" s="179"/>
      <c r="F63" s="187">
        <v>49</v>
      </c>
      <c r="G63" s="187">
        <f>-10-220</f>
        <v>-230</v>
      </c>
      <c r="H63" s="12">
        <v>-74</v>
      </c>
    </row>
    <row r="64" spans="2:8" x14ac:dyDescent="0.3">
      <c r="B64" s="189" t="s">
        <v>170</v>
      </c>
      <c r="C64" s="190"/>
      <c r="D64" s="190"/>
      <c r="E64" s="191"/>
      <c r="F64" s="191">
        <f t="shared" ref="F64:H64" si="0">SUM(F58:F63)</f>
        <v>-3249</v>
      </c>
      <c r="G64" s="191">
        <f t="shared" si="0"/>
        <v>-8189</v>
      </c>
      <c r="H64" s="192">
        <f t="shared" si="0"/>
        <v>-17434</v>
      </c>
    </row>
  </sheetData>
  <mergeCells count="2">
    <mergeCell ref="B45:C45"/>
    <mergeCell ref="B39:C39"/>
  </mergeCells>
  <pageMargins left="0.7" right="0.7" top="0.75" bottom="0.75" header="0.3" footer="0.3"/>
  <pageSetup scale="64" fitToHeight="0" orientation="landscape" r:id="rId1"/>
  <headerFooter>
    <oddHeader>&amp;A</oddHeader>
    <oddFooter>Page &amp;P of &amp;N</oddFooter>
  </headerFooter>
  <rowBreaks count="1" manualBreakCount="1">
    <brk id="50" max="1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L1:R19"/>
  <sheetViews>
    <sheetView zoomScale="90" zoomScaleNormal="90" workbookViewId="0"/>
  </sheetViews>
  <sheetFormatPr defaultColWidth="9" defaultRowHeight="15.6" x14ac:dyDescent="0.3"/>
  <cols>
    <col min="1" max="16384" width="9" style="174"/>
  </cols>
  <sheetData>
    <row r="1" spans="12:18" ht="16.2" thickBot="1" x14ac:dyDescent="0.35"/>
    <row r="2" spans="12:18" ht="26.4" thickBot="1" x14ac:dyDescent="0.55000000000000004">
      <c r="L2" s="205" t="s">
        <v>0</v>
      </c>
      <c r="M2" s="206"/>
      <c r="N2" s="206"/>
      <c r="O2" s="206"/>
      <c r="P2" s="206"/>
      <c r="Q2" s="206"/>
      <c r="R2" s="207"/>
    </row>
    <row r="3" spans="12:18" x14ac:dyDescent="0.3">
      <c r="L3" s="203" t="s">
        <v>1</v>
      </c>
      <c r="M3" s="204"/>
      <c r="N3" s="49" t="s">
        <v>2</v>
      </c>
      <c r="O3" s="49" t="s">
        <v>3</v>
      </c>
      <c r="P3" s="49" t="s">
        <v>4</v>
      </c>
      <c r="Q3" s="49" t="s">
        <v>5</v>
      </c>
      <c r="R3" s="50" t="s">
        <v>6</v>
      </c>
    </row>
    <row r="4" spans="12:18" x14ac:dyDescent="0.3">
      <c r="L4" s="53" t="s">
        <v>7</v>
      </c>
      <c r="M4" s="54"/>
      <c r="N4" s="55">
        <v>0.1</v>
      </c>
      <c r="O4" s="55">
        <v>0.11</v>
      </c>
      <c r="P4" s="55">
        <v>0.1</v>
      </c>
      <c r="Q4" s="55">
        <v>0.1</v>
      </c>
      <c r="R4" s="56">
        <v>0.1</v>
      </c>
    </row>
    <row r="5" spans="12:18" x14ac:dyDescent="0.3">
      <c r="L5" s="53" t="s">
        <v>8</v>
      </c>
      <c r="M5" s="54"/>
      <c r="N5" s="55">
        <v>0.505</v>
      </c>
      <c r="O5" s="55">
        <v>0.51250000000000007</v>
      </c>
      <c r="P5" s="55">
        <v>0.52</v>
      </c>
      <c r="Q5" s="55">
        <v>0.52750000000000008</v>
      </c>
      <c r="R5" s="56">
        <v>0.53500000000000003</v>
      </c>
    </row>
    <row r="6" spans="12:18" x14ac:dyDescent="0.3">
      <c r="L6" s="53" t="s">
        <v>9</v>
      </c>
      <c r="M6" s="54"/>
      <c r="N6" s="55">
        <v>0.02</v>
      </c>
      <c r="O6" s="55">
        <v>1.9310077519379847E-2</v>
      </c>
      <c r="P6" s="55">
        <v>1.9310077519379847E-2</v>
      </c>
      <c r="Q6" s="55">
        <v>1.9310077519379847E-2</v>
      </c>
      <c r="R6" s="56">
        <v>1.9310077519379847E-2</v>
      </c>
    </row>
    <row r="7" spans="12:18" ht="16.2" thickBot="1" x14ac:dyDescent="0.35">
      <c r="L7" s="57" t="s">
        <v>10</v>
      </c>
      <c r="M7" s="58"/>
      <c r="N7" s="59">
        <v>0.08</v>
      </c>
      <c r="O7" s="59">
        <v>8.2937984496124037E-2</v>
      </c>
      <c r="P7" s="59">
        <v>8.2937984496124037E-2</v>
      </c>
      <c r="Q7" s="59">
        <v>8.2937984496124037E-2</v>
      </c>
      <c r="R7" s="60">
        <v>8.2937984496124037E-2</v>
      </c>
    </row>
    <row r="8" spans="12:18" ht="16.2" thickBot="1" x14ac:dyDescent="0.35">
      <c r="L8" s="176"/>
      <c r="M8" s="177"/>
      <c r="N8" s="177"/>
      <c r="O8" s="177"/>
      <c r="P8" s="177"/>
      <c r="Q8" s="177"/>
      <c r="R8" s="178"/>
    </row>
    <row r="9" spans="12:18" x14ac:dyDescent="0.3">
      <c r="L9" s="203" t="s">
        <v>11</v>
      </c>
      <c r="M9" s="204"/>
      <c r="N9" s="49" t="s">
        <v>2</v>
      </c>
      <c r="O9" s="49" t="s">
        <v>3</v>
      </c>
      <c r="P9" s="49" t="s">
        <v>4</v>
      </c>
      <c r="Q9" s="49" t="s">
        <v>5</v>
      </c>
      <c r="R9" s="50" t="s">
        <v>6</v>
      </c>
    </row>
    <row r="10" spans="12:18" x14ac:dyDescent="0.3">
      <c r="L10" s="53" t="s">
        <v>7</v>
      </c>
      <c r="M10" s="54"/>
      <c r="N10" s="55">
        <v>0.15</v>
      </c>
      <c r="O10" s="55">
        <v>0.15</v>
      </c>
      <c r="P10" s="55">
        <v>0.15</v>
      </c>
      <c r="Q10" s="55">
        <v>0.15</v>
      </c>
      <c r="R10" s="56">
        <v>0.15</v>
      </c>
    </row>
    <row r="11" spans="12:18" x14ac:dyDescent="0.3">
      <c r="L11" s="53" t="s">
        <v>8</v>
      </c>
      <c r="M11" s="54"/>
      <c r="N11" s="55">
        <v>0.48</v>
      </c>
      <c r="O11" s="55">
        <v>0.48</v>
      </c>
      <c r="P11" s="55">
        <v>0.48</v>
      </c>
      <c r="Q11" s="55">
        <v>0.48</v>
      </c>
      <c r="R11" s="56">
        <v>0.48</v>
      </c>
    </row>
    <row r="12" spans="12:18" x14ac:dyDescent="0.3">
      <c r="L12" s="53" t="s">
        <v>9</v>
      </c>
      <c r="M12" s="54"/>
      <c r="N12" s="55">
        <v>1.7500000000000002E-2</v>
      </c>
      <c r="O12" s="55">
        <v>1.7500000000000002E-2</v>
      </c>
      <c r="P12" s="55">
        <v>1.7500000000000002E-2</v>
      </c>
      <c r="Q12" s="55">
        <v>1.7500000000000002E-2</v>
      </c>
      <c r="R12" s="56">
        <v>1.7500000000000002E-2</v>
      </c>
    </row>
    <row r="13" spans="12:18" ht="16.2" thickBot="1" x14ac:dyDescent="0.35">
      <c r="L13" s="57" t="s">
        <v>10</v>
      </c>
      <c r="M13" s="58"/>
      <c r="N13" s="59">
        <v>7.0000000000000007E-2</v>
      </c>
      <c r="O13" s="59">
        <v>7.0000000000000007E-2</v>
      </c>
      <c r="P13" s="59">
        <v>7.0000000000000007E-2</v>
      </c>
      <c r="Q13" s="59">
        <v>7.0000000000000007E-2</v>
      </c>
      <c r="R13" s="60">
        <v>7.0000000000000007E-2</v>
      </c>
    </row>
    <row r="14" spans="12:18" ht="16.2" thickBot="1" x14ac:dyDescent="0.35">
      <c r="L14" s="83"/>
      <c r="M14" s="179"/>
      <c r="N14" s="179"/>
      <c r="O14" s="179"/>
      <c r="P14" s="179"/>
      <c r="Q14" s="179"/>
      <c r="R14" s="84"/>
    </row>
    <row r="15" spans="12:18" x14ac:dyDescent="0.3">
      <c r="L15" s="203" t="s">
        <v>12</v>
      </c>
      <c r="M15" s="204"/>
      <c r="N15" s="49" t="s">
        <v>2</v>
      </c>
      <c r="O15" s="49" t="s">
        <v>3</v>
      </c>
      <c r="P15" s="49" t="s">
        <v>4</v>
      </c>
      <c r="Q15" s="49" t="s">
        <v>5</v>
      </c>
      <c r="R15" s="50" t="s">
        <v>6</v>
      </c>
    </row>
    <row r="16" spans="12:18" x14ac:dyDescent="0.3">
      <c r="L16" s="53" t="s">
        <v>7</v>
      </c>
      <c r="M16" s="54"/>
      <c r="N16" s="55">
        <v>0.2</v>
      </c>
      <c r="O16" s="55">
        <v>0.2</v>
      </c>
      <c r="P16" s="55">
        <v>0.2</v>
      </c>
      <c r="Q16" s="55">
        <v>0.2</v>
      </c>
      <c r="R16" s="56">
        <v>0.2</v>
      </c>
    </row>
    <row r="17" spans="12:18" x14ac:dyDescent="0.3">
      <c r="L17" s="53" t="s">
        <v>8</v>
      </c>
      <c r="M17" s="54"/>
      <c r="N17" s="55">
        <v>0.46</v>
      </c>
      <c r="O17" s="55">
        <v>0.46</v>
      </c>
      <c r="P17" s="55">
        <v>0.46</v>
      </c>
      <c r="Q17" s="55">
        <v>0.46</v>
      </c>
      <c r="R17" s="56">
        <v>0.46</v>
      </c>
    </row>
    <row r="18" spans="12:18" x14ac:dyDescent="0.3">
      <c r="L18" s="53" t="s">
        <v>9</v>
      </c>
      <c r="M18" s="54"/>
      <c r="N18" s="55">
        <v>1.4999999999999999E-2</v>
      </c>
      <c r="O18" s="55">
        <v>1.4999999999999999E-2</v>
      </c>
      <c r="P18" s="55">
        <v>1.4999999999999999E-2</v>
      </c>
      <c r="Q18" s="55">
        <v>1.4999999999999999E-2</v>
      </c>
      <c r="R18" s="56">
        <v>1.4999999999999999E-2</v>
      </c>
    </row>
    <row r="19" spans="12:18" ht="16.2" thickBot="1" x14ac:dyDescent="0.35">
      <c r="L19" s="57" t="s">
        <v>10</v>
      </c>
      <c r="M19" s="58"/>
      <c r="N19" s="59">
        <v>0.06</v>
      </c>
      <c r="O19" s="59">
        <v>0.06</v>
      </c>
      <c r="P19" s="59">
        <v>0.06</v>
      </c>
      <c r="Q19" s="59">
        <v>0.06</v>
      </c>
      <c r="R19" s="60">
        <v>0.06</v>
      </c>
    </row>
  </sheetData>
  <mergeCells count="4">
    <mergeCell ref="L3:M3"/>
    <mergeCell ref="L9:M9"/>
    <mergeCell ref="L15:M15"/>
    <mergeCell ref="L2:R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B1:Y187"/>
  <sheetViews>
    <sheetView zoomScale="70" zoomScaleNormal="70" workbookViewId="0">
      <selection activeCell="L15" sqref="L15"/>
    </sheetView>
  </sheetViews>
  <sheetFormatPr defaultColWidth="11" defaultRowHeight="15.6" x14ac:dyDescent="0.3"/>
  <cols>
    <col min="2" max="4" width="9" customWidth="1"/>
    <col min="5" max="5" width="9.69921875" customWidth="1"/>
    <col min="6" max="6" width="11.69921875" customWidth="1"/>
    <col min="7" max="7" width="12" customWidth="1"/>
    <col min="8" max="8" width="11.69921875" customWidth="1"/>
    <col min="9" max="10" width="11.19921875" customWidth="1"/>
    <col min="11" max="11" width="15.19921875" customWidth="1"/>
    <col min="12" max="13" width="11.19921875" customWidth="1"/>
  </cols>
  <sheetData>
    <row r="1" spans="2:25" ht="31.8" thickBot="1" x14ac:dyDescent="0.65">
      <c r="B1" s="208" t="s">
        <v>13</v>
      </c>
      <c r="C1" s="209"/>
      <c r="D1" s="209"/>
      <c r="E1" s="209"/>
      <c r="F1" s="209"/>
      <c r="G1" s="209"/>
      <c r="H1" s="209"/>
      <c r="I1" s="209"/>
      <c r="J1" s="209"/>
      <c r="K1" s="209"/>
      <c r="L1" s="209"/>
      <c r="M1" s="210"/>
    </row>
    <row r="2" spans="2:25" x14ac:dyDescent="0.3">
      <c r="B2" s="1"/>
    </row>
    <row r="3" spans="2:25" x14ac:dyDescent="0.3">
      <c r="B3" t="s">
        <v>14</v>
      </c>
    </row>
    <row r="5" spans="2:25" x14ac:dyDescent="0.3">
      <c r="B5" s="2" t="s">
        <v>15</v>
      </c>
      <c r="C5" s="3"/>
      <c r="D5" s="3"/>
      <c r="E5" s="3"/>
      <c r="F5" s="3"/>
      <c r="G5" s="3"/>
      <c r="H5" s="4"/>
      <c r="I5" s="4"/>
      <c r="J5" s="4"/>
      <c r="K5" s="4"/>
      <c r="L5" s="4"/>
      <c r="M5" s="5"/>
      <c r="O5" s="6"/>
      <c r="P5" s="6"/>
      <c r="Q5" s="6"/>
      <c r="R5" s="6"/>
      <c r="S5" s="6"/>
      <c r="T5" s="6"/>
      <c r="U5" s="6"/>
      <c r="V5" s="6"/>
      <c r="W5" s="6"/>
      <c r="X5" s="6"/>
      <c r="Y5" s="6"/>
    </row>
    <row r="6" spans="2:25" x14ac:dyDescent="0.3">
      <c r="B6" s="7"/>
      <c r="K6" s="1" t="s">
        <v>16</v>
      </c>
      <c r="M6" s="8">
        <v>360</v>
      </c>
      <c r="O6" s="6"/>
      <c r="P6" s="6"/>
      <c r="Q6" s="6"/>
      <c r="R6" s="6"/>
      <c r="S6" s="6"/>
      <c r="T6" s="6"/>
      <c r="U6" s="6"/>
      <c r="V6" s="6"/>
      <c r="W6" s="6"/>
      <c r="X6" s="6"/>
      <c r="Y6" s="6"/>
    </row>
    <row r="7" spans="2:25" x14ac:dyDescent="0.3">
      <c r="B7" s="9" t="s">
        <v>17</v>
      </c>
      <c r="E7" s="10">
        <v>42764</v>
      </c>
      <c r="G7" s="1" t="s">
        <v>18</v>
      </c>
      <c r="I7" s="11">
        <v>2017</v>
      </c>
      <c r="K7" s="1" t="s">
        <v>19</v>
      </c>
      <c r="M7" s="12">
        <v>100000</v>
      </c>
      <c r="O7" s="6"/>
      <c r="P7" s="6"/>
      <c r="Q7" s="6"/>
      <c r="R7" s="6"/>
      <c r="S7" s="6"/>
      <c r="T7" s="6"/>
      <c r="U7" s="6"/>
      <c r="V7" s="6"/>
      <c r="W7" s="6"/>
      <c r="X7" s="6"/>
      <c r="Y7" s="6"/>
    </row>
    <row r="8" spans="2:25" x14ac:dyDescent="0.3">
      <c r="B8" s="9" t="s">
        <v>20</v>
      </c>
      <c r="E8" s="11" t="s">
        <v>21</v>
      </c>
      <c r="G8" s="1" t="s">
        <v>22</v>
      </c>
      <c r="I8" s="11">
        <v>2018</v>
      </c>
      <c r="K8" s="1" t="s">
        <v>23</v>
      </c>
      <c r="M8" s="13">
        <v>0.2</v>
      </c>
      <c r="O8" s="6"/>
      <c r="P8" s="6"/>
      <c r="Q8" s="6"/>
      <c r="R8" s="6"/>
      <c r="S8" s="6"/>
      <c r="T8" s="6"/>
      <c r="U8" s="6"/>
      <c r="V8" s="6"/>
      <c r="W8" s="6"/>
      <c r="X8" s="6"/>
      <c r="Y8" s="6"/>
    </row>
    <row r="9" spans="2:25" x14ac:dyDescent="0.3">
      <c r="B9" s="9" t="s">
        <v>24</v>
      </c>
      <c r="D9" s="14"/>
      <c r="E9" s="15">
        <v>140</v>
      </c>
      <c r="G9" s="1" t="s">
        <v>25</v>
      </c>
      <c r="I9" s="11">
        <v>1000</v>
      </c>
      <c r="K9" s="1" t="s">
        <v>26</v>
      </c>
      <c r="M9" s="16">
        <v>0.06</v>
      </c>
      <c r="O9" s="6"/>
      <c r="P9" s="6"/>
      <c r="Q9" s="6"/>
      <c r="R9" s="6"/>
      <c r="S9" s="6"/>
      <c r="T9" s="6"/>
      <c r="U9" s="6"/>
      <c r="V9" s="6"/>
      <c r="W9" s="6"/>
      <c r="X9" s="6"/>
      <c r="Y9" s="6"/>
    </row>
    <row r="10" spans="2:25" x14ac:dyDescent="0.3">
      <c r="B10" s="7"/>
      <c r="K10" s="1" t="s">
        <v>27</v>
      </c>
      <c r="M10" s="16">
        <v>5.0000000000000001E-3</v>
      </c>
      <c r="O10" s="6"/>
      <c r="P10" s="6"/>
      <c r="Q10" s="6"/>
      <c r="R10" s="6"/>
      <c r="S10" s="6"/>
      <c r="T10" s="6"/>
      <c r="U10" s="6"/>
      <c r="V10" s="6"/>
      <c r="W10" s="6"/>
      <c r="X10" s="6"/>
      <c r="Y10" s="6"/>
    </row>
    <row r="11" spans="2:25" x14ac:dyDescent="0.3">
      <c r="B11" s="9" t="s">
        <v>28</v>
      </c>
      <c r="E11" s="17">
        <v>1000000</v>
      </c>
      <c r="G11" s="1" t="s">
        <v>29</v>
      </c>
      <c r="K11" s="1" t="s">
        <v>30</v>
      </c>
      <c r="M11" s="18">
        <f>IF($L$15=1,-15%,IF($L$15=2,10%,IF($L$15=3,20%,0%)))</f>
        <v>-0.15</v>
      </c>
      <c r="O11" s="6"/>
      <c r="P11" s="6"/>
      <c r="Q11" s="6"/>
      <c r="R11" s="6"/>
      <c r="S11" s="6"/>
      <c r="T11" s="6"/>
      <c r="U11" s="6"/>
      <c r="V11" s="6"/>
      <c r="W11" s="6"/>
      <c r="X11" s="6"/>
      <c r="Y11" s="6"/>
    </row>
    <row r="12" spans="2:25" x14ac:dyDescent="0.3">
      <c r="B12" s="9" t="s">
        <v>31</v>
      </c>
      <c r="E12" s="19">
        <f>E11/Units*Share_Price</f>
        <v>140000</v>
      </c>
      <c r="K12" s="1" t="s">
        <v>32</v>
      </c>
      <c r="M12" s="20">
        <f>+L15</f>
        <v>1</v>
      </c>
      <c r="O12" s="6"/>
      <c r="P12" s="6"/>
      <c r="Q12" s="6"/>
      <c r="R12" s="6"/>
      <c r="S12" s="6"/>
      <c r="T12" s="6"/>
      <c r="U12" s="6"/>
      <c r="V12" s="6"/>
      <c r="W12" s="6"/>
      <c r="X12" s="6"/>
      <c r="Y12" s="6"/>
    </row>
    <row r="13" spans="2:25" ht="16.2" thickBot="1" x14ac:dyDescent="0.35">
      <c r="B13" s="9" t="s">
        <v>33</v>
      </c>
      <c r="E13" s="21">
        <f>E11+J20</f>
        <v>1000000</v>
      </c>
      <c r="G13" s="22"/>
      <c r="H13" s="22"/>
      <c r="I13" s="22" t="s">
        <v>34</v>
      </c>
      <c r="J13" s="22"/>
      <c r="K13" s="1"/>
      <c r="M13" s="23"/>
      <c r="O13" s="6"/>
      <c r="P13" s="6"/>
      <c r="Q13" s="6"/>
      <c r="R13" s="6"/>
      <c r="S13" s="6"/>
      <c r="T13" s="6"/>
      <c r="U13" s="6"/>
      <c r="V13" s="6"/>
      <c r="W13" s="6"/>
      <c r="X13" s="6"/>
      <c r="Y13" s="6"/>
    </row>
    <row r="14" spans="2:25" x14ac:dyDescent="0.3">
      <c r="B14" s="9" t="s">
        <v>35</v>
      </c>
      <c r="E14" s="19">
        <f>E13/Units*Share_Price</f>
        <v>140000</v>
      </c>
      <c r="G14" s="24" t="s">
        <v>36</v>
      </c>
      <c r="H14" s="24" t="s">
        <v>37</v>
      </c>
      <c r="I14" s="24" t="s">
        <v>38</v>
      </c>
      <c r="J14" s="24" t="s">
        <v>39</v>
      </c>
      <c r="L14" s="25" t="s">
        <v>40</v>
      </c>
      <c r="M14" s="26"/>
      <c r="O14" s="6"/>
      <c r="P14" s="6"/>
      <c r="Q14" s="6"/>
      <c r="R14" s="6"/>
      <c r="S14" s="6"/>
      <c r="T14" s="6"/>
      <c r="U14" s="6"/>
      <c r="V14" s="6"/>
      <c r="W14" s="6"/>
      <c r="X14" s="6"/>
      <c r="Y14" s="6"/>
    </row>
    <row r="15" spans="2:25" ht="21.6" thickBot="1" x14ac:dyDescent="0.45">
      <c r="B15" s="27" t="s">
        <v>41</v>
      </c>
      <c r="E15" s="28">
        <f>H108+H109+H117</f>
        <v>35799</v>
      </c>
      <c r="G15" s="29" t="s">
        <v>42</v>
      </c>
      <c r="H15" s="17">
        <v>100000</v>
      </c>
      <c r="I15" s="15">
        <v>140</v>
      </c>
      <c r="J15" s="21">
        <f>IF(I15&gt;Share_Price,0,H15-H15*I15/Share_Price)</f>
        <v>0</v>
      </c>
      <c r="L15" s="30">
        <v>1</v>
      </c>
      <c r="M15" s="26"/>
      <c r="O15" s="6"/>
      <c r="P15" s="6"/>
      <c r="Q15" s="6"/>
      <c r="R15" s="6"/>
      <c r="S15" s="6"/>
      <c r="T15" s="6"/>
      <c r="U15" s="6"/>
      <c r="V15" s="6"/>
      <c r="W15" s="6"/>
      <c r="X15" s="6"/>
      <c r="Y15" s="6"/>
    </row>
    <row r="16" spans="2:25" ht="16.2" thickBot="1" x14ac:dyDescent="0.35">
      <c r="B16" s="27" t="s">
        <v>43</v>
      </c>
      <c r="E16" s="28">
        <f>H133</f>
        <v>0</v>
      </c>
      <c r="G16" s="29" t="s">
        <v>44</v>
      </c>
      <c r="H16" s="17"/>
      <c r="I16" s="15"/>
      <c r="J16" s="21"/>
      <c r="M16" s="23"/>
      <c r="O16" s="6"/>
      <c r="P16" s="6"/>
      <c r="Q16" s="6"/>
      <c r="R16" s="6"/>
      <c r="S16" s="6"/>
      <c r="T16" s="6"/>
      <c r="U16" s="6"/>
      <c r="V16" s="6"/>
      <c r="W16" s="6"/>
      <c r="X16" s="6"/>
      <c r="Y16" s="6"/>
    </row>
    <row r="17" spans="2:25" x14ac:dyDescent="0.3">
      <c r="B17" s="27" t="s">
        <v>45</v>
      </c>
      <c r="E17" s="31">
        <v>0</v>
      </c>
      <c r="G17" s="29" t="s">
        <v>46</v>
      </c>
      <c r="H17" s="17"/>
      <c r="I17" s="15"/>
      <c r="J17" s="21"/>
      <c r="K17" s="32"/>
      <c r="L17" s="33" t="s">
        <v>47</v>
      </c>
      <c r="M17" s="34" t="s">
        <v>48</v>
      </c>
      <c r="O17" s="6"/>
      <c r="P17" s="6"/>
      <c r="Q17" s="6"/>
      <c r="R17" s="6"/>
      <c r="S17" s="6"/>
      <c r="T17" s="6"/>
      <c r="U17" s="6"/>
      <c r="V17" s="6"/>
      <c r="W17" s="6"/>
      <c r="X17" s="6"/>
      <c r="Y17" s="6"/>
    </row>
    <row r="18" spans="2:25" ht="16.2" thickBot="1" x14ac:dyDescent="0.35">
      <c r="B18" s="27" t="s">
        <v>49</v>
      </c>
      <c r="E18" s="31">
        <v>0</v>
      </c>
      <c r="G18" s="29" t="s">
        <v>50</v>
      </c>
      <c r="H18" s="17"/>
      <c r="I18" s="15"/>
      <c r="J18" s="21"/>
      <c r="K18" s="35" t="s">
        <v>51</v>
      </c>
      <c r="L18" s="181">
        <f>NPV(M9,F101:M101)+E101</f>
        <v>18164.907349618879</v>
      </c>
      <c r="M18" s="182">
        <f>IRR(E101:M101)</f>
        <v>0.13254899887296756</v>
      </c>
      <c r="O18" s="6"/>
      <c r="P18" s="6"/>
      <c r="Q18" s="6"/>
      <c r="R18" s="6"/>
      <c r="S18" s="6"/>
      <c r="T18" s="6"/>
      <c r="U18" s="6"/>
      <c r="V18" s="6"/>
      <c r="W18" s="6"/>
      <c r="X18" s="6"/>
      <c r="Y18" s="6"/>
    </row>
    <row r="19" spans="2:25" x14ac:dyDescent="0.3">
      <c r="B19" s="27" t="s">
        <v>52</v>
      </c>
      <c r="E19" s="31">
        <v>0</v>
      </c>
      <c r="G19" s="29" t="s">
        <v>53</v>
      </c>
      <c r="H19" s="17"/>
      <c r="I19" s="15"/>
      <c r="J19" s="21"/>
      <c r="O19" s="6"/>
      <c r="P19" s="6"/>
      <c r="Q19" s="6"/>
      <c r="R19" s="6"/>
      <c r="S19" s="6"/>
      <c r="T19" s="6"/>
      <c r="U19" s="6"/>
      <c r="V19" s="6"/>
      <c r="W19" s="6"/>
      <c r="X19" s="6"/>
      <c r="Y19" s="6"/>
    </row>
    <row r="20" spans="2:25" x14ac:dyDescent="0.3">
      <c r="B20" s="9" t="s">
        <v>54</v>
      </c>
      <c r="E20" s="36">
        <f>Equity_Value-E15+E16+E17+E18+E19</f>
        <v>104201</v>
      </c>
      <c r="G20" s="37" t="s">
        <v>55</v>
      </c>
      <c r="H20" s="38"/>
      <c r="I20" s="38"/>
      <c r="J20" s="39">
        <f>SUM(J15:J19)</f>
        <v>0</v>
      </c>
      <c r="O20" s="6"/>
      <c r="P20" s="6"/>
      <c r="Q20" s="6"/>
      <c r="R20" s="6"/>
      <c r="S20" s="6"/>
      <c r="T20" s="6"/>
      <c r="U20" s="6"/>
      <c r="V20" s="6"/>
      <c r="W20" s="6"/>
      <c r="X20" s="6"/>
      <c r="Y20" s="6"/>
    </row>
    <row r="21" spans="2:25" x14ac:dyDescent="0.3">
      <c r="B21" s="7"/>
      <c r="M21" s="23"/>
      <c r="O21" s="6"/>
      <c r="P21" s="6"/>
      <c r="Q21" s="6"/>
      <c r="R21" s="6"/>
      <c r="S21" s="6"/>
      <c r="T21" s="6"/>
      <c r="U21" s="6"/>
      <c r="V21" s="6"/>
      <c r="W21" s="6"/>
      <c r="X21" s="6"/>
      <c r="Y21" s="6"/>
    </row>
    <row r="22" spans="2:25" x14ac:dyDescent="0.3">
      <c r="B22" s="7"/>
      <c r="F22" s="40" t="s">
        <v>56</v>
      </c>
      <c r="G22" s="41"/>
      <c r="H22" s="42"/>
      <c r="I22" s="43" t="s">
        <v>57</v>
      </c>
      <c r="J22" s="43"/>
      <c r="K22" s="43"/>
      <c r="L22" s="43"/>
      <c r="M22" s="44"/>
      <c r="O22" s="6"/>
      <c r="P22" s="6"/>
      <c r="Q22" s="6"/>
      <c r="R22" s="6"/>
      <c r="S22" s="6"/>
      <c r="T22" s="6"/>
      <c r="U22" s="6"/>
      <c r="V22" s="6"/>
      <c r="W22" s="6"/>
      <c r="X22" s="6"/>
      <c r="Y22" s="6"/>
    </row>
    <row r="23" spans="2:25" x14ac:dyDescent="0.3">
      <c r="B23" s="7"/>
      <c r="F23" s="45">
        <f>G23-1</f>
        <v>2015</v>
      </c>
      <c r="G23" s="45">
        <f>H23-1</f>
        <v>2016</v>
      </c>
      <c r="H23" s="46">
        <f>Hist_Year</f>
        <v>2017</v>
      </c>
      <c r="I23" s="45">
        <f>H23+1</f>
        <v>2018</v>
      </c>
      <c r="J23" s="45">
        <f>I23+1</f>
        <v>2019</v>
      </c>
      <c r="K23" s="45">
        <f>J23+1</f>
        <v>2020</v>
      </c>
      <c r="L23" s="45">
        <f>K23+1</f>
        <v>2021</v>
      </c>
      <c r="M23" s="46">
        <f>L23+1</f>
        <v>2022</v>
      </c>
      <c r="O23" s="6"/>
      <c r="P23" s="6"/>
      <c r="Q23" s="6"/>
      <c r="R23" s="6"/>
      <c r="S23" s="6"/>
      <c r="T23" s="6"/>
      <c r="U23" s="6"/>
      <c r="V23" s="6"/>
      <c r="W23" s="6"/>
      <c r="X23" s="6"/>
      <c r="Y23" s="6"/>
    </row>
    <row r="24" spans="2:25" ht="16.2" thickBot="1" x14ac:dyDescent="0.35">
      <c r="B24" s="7"/>
      <c r="F24" s="45" t="str">
        <f>"FY "&amp;Hist_Year-2</f>
        <v>FY 2015</v>
      </c>
      <c r="G24" s="45" t="str">
        <f>"FY "&amp;Hist_Year-1</f>
        <v>FY 2016</v>
      </c>
      <c r="H24" s="46" t="str">
        <f>"FY "&amp;Hist_Year</f>
        <v>FY 2017</v>
      </c>
      <c r="I24" s="45" t="str">
        <f>"FY "&amp;Hist_Year+1&amp;"E"</f>
        <v>FY 2018E</v>
      </c>
      <c r="J24" s="45" t="str">
        <f>"FY "&amp;Hist_Year+2&amp;"E"</f>
        <v>FY 2019E</v>
      </c>
      <c r="K24" s="45" t="str">
        <f>"FY "&amp;Hist_Year+3&amp;"E"</f>
        <v>FY 2020E</v>
      </c>
      <c r="L24" s="45" t="str">
        <f>"FY "&amp;Hist_Year+4&amp;"E"</f>
        <v>FY 2021E</v>
      </c>
      <c r="M24" s="46" t="str">
        <f>"FY "&amp;Hist_Year+5&amp;"E"</f>
        <v>FY 2022E</v>
      </c>
      <c r="O24" s="6"/>
      <c r="P24" s="6"/>
      <c r="Q24" s="6"/>
      <c r="R24" s="6"/>
      <c r="S24" s="6"/>
      <c r="T24" s="6"/>
      <c r="U24" s="6"/>
      <c r="V24" s="6"/>
      <c r="W24" s="6"/>
      <c r="X24" s="6"/>
      <c r="Y24" s="6"/>
    </row>
    <row r="25" spans="2:25" x14ac:dyDescent="0.3">
      <c r="B25" s="7"/>
      <c r="F25" s="47"/>
      <c r="G25" s="47"/>
      <c r="H25" s="47"/>
      <c r="I25" s="47"/>
      <c r="J25" s="47"/>
      <c r="K25" s="47"/>
      <c r="L25" s="47"/>
      <c r="M25" s="48"/>
      <c r="O25" s="6"/>
      <c r="P25" s="203" t="s">
        <v>1</v>
      </c>
      <c r="Q25" s="204"/>
      <c r="R25" s="49" t="s">
        <v>2</v>
      </c>
      <c r="S25" s="49" t="s">
        <v>3</v>
      </c>
      <c r="T25" s="49" t="s">
        <v>4</v>
      </c>
      <c r="U25" s="49" t="s">
        <v>5</v>
      </c>
      <c r="V25" s="50" t="s">
        <v>6</v>
      </c>
      <c r="W25" s="6"/>
      <c r="X25" s="6"/>
      <c r="Y25" s="6"/>
    </row>
    <row r="26" spans="2:25" x14ac:dyDescent="0.3">
      <c r="B26" s="9" t="s">
        <v>58</v>
      </c>
      <c r="F26" s="51">
        <f t="shared" ref="F26:M26" si="0">Enterprise_Value/F75</f>
        <v>4.1847791164658634</v>
      </c>
      <c r="G26" s="51">
        <f t="shared" si="0"/>
        <v>2.7566402116402116</v>
      </c>
      <c r="H26" s="51">
        <f t="shared" si="0"/>
        <v>2.423279069767442</v>
      </c>
      <c r="I26" s="51">
        <f t="shared" si="0"/>
        <v>2.202980972515856</v>
      </c>
      <c r="J26" s="51">
        <f t="shared" si="0"/>
        <v>1.9846675428070772</v>
      </c>
      <c r="K26" s="51">
        <f t="shared" si="0"/>
        <v>1.8042432207337065</v>
      </c>
      <c r="L26" s="51">
        <f t="shared" si="0"/>
        <v>1.6402211097579147</v>
      </c>
      <c r="M26" s="52">
        <f t="shared" si="0"/>
        <v>1.4911100997799225</v>
      </c>
      <c r="O26" s="6"/>
      <c r="P26" s="53" t="s">
        <v>7</v>
      </c>
      <c r="Q26" s="54"/>
      <c r="R26" s="55">
        <v>0.1</v>
      </c>
      <c r="S26" s="55">
        <v>0.11</v>
      </c>
      <c r="T26" s="55">
        <v>0.1</v>
      </c>
      <c r="U26" s="55">
        <v>0.1</v>
      </c>
      <c r="V26" s="56">
        <v>0.1</v>
      </c>
      <c r="W26" s="6"/>
      <c r="X26" s="6"/>
      <c r="Y26" s="6"/>
    </row>
    <row r="27" spans="2:25" x14ac:dyDescent="0.3">
      <c r="B27" s="9" t="s">
        <v>59</v>
      </c>
      <c r="F27" s="51">
        <f t="shared" ref="F27:M28" si="1">Enterprise_Value/F99</f>
        <v>20.961778314222489</v>
      </c>
      <c r="G27" s="51">
        <f t="shared" si="1"/>
        <v>11.385598776223777</v>
      </c>
      <c r="H27" s="51">
        <f t="shared" si="1"/>
        <v>8.3061777600637701</v>
      </c>
      <c r="I27" s="51">
        <f t="shared" si="1"/>
        <v>5.8421403782216954</v>
      </c>
      <c r="J27" s="51">
        <f t="shared" si="1"/>
        <v>5.4007873100960548</v>
      </c>
      <c r="K27" s="51">
        <f t="shared" si="1"/>
        <v>5.0090407992360326</v>
      </c>
      <c r="L27" s="51">
        <f t="shared" si="1"/>
        <v>4.6468144041588202</v>
      </c>
      <c r="M27" s="52">
        <f t="shared" si="1"/>
        <v>4.3153154717537925</v>
      </c>
      <c r="O27" s="6"/>
      <c r="P27" s="53" t="s">
        <v>8</v>
      </c>
      <c r="Q27" s="54"/>
      <c r="R27" s="55">
        <v>0.505</v>
      </c>
      <c r="S27" s="55">
        <v>0.51250000000000007</v>
      </c>
      <c r="T27" s="55">
        <v>0.52</v>
      </c>
      <c r="U27" s="55">
        <v>0.52750000000000008</v>
      </c>
      <c r="V27" s="56">
        <v>0.53500000000000003</v>
      </c>
      <c r="W27" s="6"/>
      <c r="X27" s="6"/>
      <c r="Y27" s="6"/>
    </row>
    <row r="28" spans="2:25" x14ac:dyDescent="0.3">
      <c r="B28" s="9" t="s">
        <v>60</v>
      </c>
      <c r="F28" s="51">
        <f t="shared" si="1"/>
        <v>19.6679879199698</v>
      </c>
      <c r="G28" s="51">
        <f t="shared" si="1"/>
        <v>10.800269485903815</v>
      </c>
      <c r="H28" s="51">
        <f t="shared" si="1"/>
        <v>7.8470517358234808</v>
      </c>
      <c r="I28" s="51">
        <f t="shared" si="1"/>
        <v>5.5771670190274829</v>
      </c>
      <c r="J28" s="51">
        <f t="shared" si="1"/>
        <v>5.1516094979045821</v>
      </c>
      <c r="K28" s="51">
        <f t="shared" si="1"/>
        <v>4.7762646311235004</v>
      </c>
      <c r="L28" s="51">
        <f t="shared" si="1"/>
        <v>4.4300135704532027</v>
      </c>
      <c r="M28" s="52">
        <f t="shared" si="1"/>
        <v>4.1105503338307523</v>
      </c>
      <c r="O28" s="6"/>
      <c r="P28" s="53" t="s">
        <v>9</v>
      </c>
      <c r="Q28" s="54"/>
      <c r="R28" s="55">
        <v>0.02</v>
      </c>
      <c r="S28" s="55">
        <v>1.9310077519379847E-2</v>
      </c>
      <c r="T28" s="55">
        <v>1.9310077519379847E-2</v>
      </c>
      <c r="U28" s="55">
        <v>1.9310077519379847E-2</v>
      </c>
      <c r="V28" s="56">
        <v>1.9310077519379847E-2</v>
      </c>
      <c r="W28" s="6"/>
      <c r="X28" s="6"/>
      <c r="Y28" s="6"/>
    </row>
    <row r="29" spans="2:25" ht="16.2" thickBot="1" x14ac:dyDescent="0.35">
      <c r="B29" s="7"/>
      <c r="M29" s="23"/>
      <c r="O29" s="6"/>
      <c r="P29" s="57" t="s">
        <v>10</v>
      </c>
      <c r="Q29" s="58"/>
      <c r="R29" s="59">
        <v>0.08</v>
      </c>
      <c r="S29" s="59">
        <v>8.2937984496124037E-2</v>
      </c>
      <c r="T29" s="59">
        <v>8.2937984496124037E-2</v>
      </c>
      <c r="U29" s="59">
        <v>8.2937984496124037E-2</v>
      </c>
      <c r="V29" s="60">
        <v>8.2937984496124037E-2</v>
      </c>
      <c r="W29" s="6"/>
      <c r="X29" s="6"/>
      <c r="Y29" s="6"/>
    </row>
    <row r="30" spans="2:25" ht="16.2" thickBot="1" x14ac:dyDescent="0.35">
      <c r="B30" s="9" t="s">
        <v>61</v>
      </c>
      <c r="F30" s="51">
        <f t="shared" ref="F30:M30" si="2">Equity_Value/F101</f>
        <v>27.684397864346451</v>
      </c>
      <c r="G30" s="51">
        <f t="shared" si="2"/>
        <v>15.883821193555708</v>
      </c>
      <c r="H30" s="51">
        <f t="shared" si="2"/>
        <v>13.453776667307324</v>
      </c>
      <c r="I30" s="51">
        <f t="shared" si="2"/>
        <v>11.75695105634818</v>
      </c>
      <c r="J30" s="51">
        <f t="shared" si="2"/>
        <v>12.155984684496627</v>
      </c>
      <c r="K30" s="51">
        <f t="shared" si="2"/>
        <v>10.840835161290572</v>
      </c>
      <c r="L30" s="51">
        <f t="shared" si="2"/>
        <v>9.8985445650007886</v>
      </c>
      <c r="M30" s="52">
        <f t="shared" si="2"/>
        <v>8.5576919847403037</v>
      </c>
      <c r="O30" s="6"/>
      <c r="P30" s="6"/>
      <c r="Q30" s="6"/>
      <c r="R30" s="6"/>
      <c r="S30" s="6"/>
      <c r="T30" s="6"/>
      <c r="U30" s="6"/>
      <c r="V30" s="6"/>
      <c r="W30" s="6"/>
      <c r="X30" s="6"/>
      <c r="Y30" s="6"/>
    </row>
    <row r="31" spans="2:25" x14ac:dyDescent="0.3">
      <c r="B31" s="9" t="s">
        <v>62</v>
      </c>
      <c r="F31" s="51">
        <f t="shared" ref="F31:M31" si="3">Share_Price/F96</f>
        <v>32.6174692166623</v>
      </c>
      <c r="G31" s="51">
        <f t="shared" si="3"/>
        <v>19.648329184816429</v>
      </c>
      <c r="H31" s="51">
        <f t="shared" si="3"/>
        <v>15.243781512605043</v>
      </c>
      <c r="I31" s="51">
        <f t="shared" si="3"/>
        <v>10.962221033566912</v>
      </c>
      <c r="J31" s="51">
        <f t="shared" si="3"/>
        <v>12.703753292616504</v>
      </c>
      <c r="K31" s="51">
        <f t="shared" si="3"/>
        <v>11.10588924574196</v>
      </c>
      <c r="L31" s="51">
        <f t="shared" si="3"/>
        <v>10.139034364004775</v>
      </c>
      <c r="M31" s="52">
        <f t="shared" si="3"/>
        <v>8.713622376945656</v>
      </c>
      <c r="O31" s="6"/>
      <c r="P31" s="203" t="s">
        <v>11</v>
      </c>
      <c r="Q31" s="204"/>
      <c r="R31" s="49" t="s">
        <v>2</v>
      </c>
      <c r="S31" s="49" t="s">
        <v>3</v>
      </c>
      <c r="T31" s="49" t="s">
        <v>4</v>
      </c>
      <c r="U31" s="49" t="s">
        <v>5</v>
      </c>
      <c r="V31" s="50" t="s">
        <v>6</v>
      </c>
      <c r="W31" s="6"/>
      <c r="X31" s="6"/>
      <c r="Y31" s="6"/>
    </row>
    <row r="32" spans="2:25" x14ac:dyDescent="0.3">
      <c r="B32" s="61" t="s">
        <v>63</v>
      </c>
      <c r="C32" s="62"/>
      <c r="D32" s="62"/>
      <c r="E32" s="62"/>
      <c r="F32" s="63"/>
      <c r="G32" s="63">
        <f t="shared" ref="G32:M32" si="4">Share_Price/G102</f>
        <v>5.7112896807452289</v>
      </c>
      <c r="H32" s="63">
        <f t="shared" si="4"/>
        <v>3.9996440720675315</v>
      </c>
      <c r="I32" s="63">
        <f t="shared" si="4"/>
        <v>2.8759583069949275</v>
      </c>
      <c r="J32" s="63">
        <f t="shared" si="4"/>
        <v>2.3065626384709961</v>
      </c>
      <c r="K32" s="63">
        <f t="shared" si="4"/>
        <v>1.8821113312403894</v>
      </c>
      <c r="L32" s="63">
        <f t="shared" si="4"/>
        <v>1.5666366828709593</v>
      </c>
      <c r="M32" s="64">
        <f t="shared" si="4"/>
        <v>1.3119252569303015</v>
      </c>
      <c r="O32" s="6"/>
      <c r="P32" s="53" t="s">
        <v>7</v>
      </c>
      <c r="Q32" s="54"/>
      <c r="R32" s="55">
        <v>0.15</v>
      </c>
      <c r="S32" s="55">
        <v>0.15</v>
      </c>
      <c r="T32" s="55">
        <v>0.15</v>
      </c>
      <c r="U32" s="55">
        <v>0.15</v>
      </c>
      <c r="V32" s="56">
        <v>0.15</v>
      </c>
      <c r="W32" s="6"/>
      <c r="X32" s="6"/>
      <c r="Y32" s="6"/>
    </row>
    <row r="33" spans="2:25" x14ac:dyDescent="0.3">
      <c r="O33" s="6"/>
      <c r="P33" s="53" t="s">
        <v>8</v>
      </c>
      <c r="Q33" s="54"/>
      <c r="R33" s="55">
        <v>0.48</v>
      </c>
      <c r="S33" s="55">
        <v>0.48</v>
      </c>
      <c r="T33" s="55">
        <v>0.48</v>
      </c>
      <c r="U33" s="55">
        <v>0.48</v>
      </c>
      <c r="V33" s="56">
        <v>0.48</v>
      </c>
      <c r="W33" s="6"/>
      <c r="X33" s="6"/>
      <c r="Y33" s="6"/>
    </row>
    <row r="34" spans="2:25" x14ac:dyDescent="0.3">
      <c r="B34" s="2" t="s">
        <v>64</v>
      </c>
      <c r="C34" s="3"/>
      <c r="D34" s="3"/>
      <c r="E34" s="3"/>
      <c r="F34" s="3"/>
      <c r="G34" s="3"/>
      <c r="H34" s="4"/>
      <c r="I34" s="4"/>
      <c r="J34" s="4"/>
      <c r="K34" s="4"/>
      <c r="L34" s="4"/>
      <c r="M34" s="5"/>
      <c r="P34" s="53" t="s">
        <v>9</v>
      </c>
      <c r="Q34" s="54"/>
      <c r="R34" s="55">
        <v>1.7500000000000002E-2</v>
      </c>
      <c r="S34" s="55">
        <v>1.7500000000000002E-2</v>
      </c>
      <c r="T34" s="55">
        <v>1.7500000000000002E-2</v>
      </c>
      <c r="U34" s="55">
        <v>1.7500000000000002E-2</v>
      </c>
      <c r="V34" s="56">
        <v>1.7500000000000002E-2</v>
      </c>
    </row>
    <row r="35" spans="2:25" ht="16.2" thickBot="1" x14ac:dyDescent="0.35">
      <c r="B35" s="7"/>
      <c r="M35" s="23"/>
      <c r="P35" s="57" t="s">
        <v>10</v>
      </c>
      <c r="Q35" s="58"/>
      <c r="R35" s="59">
        <v>7.0000000000000007E-2</v>
      </c>
      <c r="S35" s="59">
        <v>7.0000000000000007E-2</v>
      </c>
      <c r="T35" s="59">
        <v>7.0000000000000007E-2</v>
      </c>
      <c r="U35" s="59">
        <v>7.0000000000000007E-2</v>
      </c>
      <c r="V35" s="60">
        <v>7.0000000000000007E-2</v>
      </c>
    </row>
    <row r="36" spans="2:25" ht="16.2" thickBot="1" x14ac:dyDescent="0.35">
      <c r="B36" s="7"/>
      <c r="F36" s="40" t="str">
        <f>F22</f>
        <v>Historical</v>
      </c>
      <c r="G36" s="41"/>
      <c r="H36" s="42"/>
      <c r="I36" s="43" t="str">
        <f>I22</f>
        <v>Projections</v>
      </c>
      <c r="J36" s="43"/>
      <c r="K36" s="43"/>
      <c r="L36" s="43"/>
      <c r="M36" s="44"/>
    </row>
    <row r="37" spans="2:25" ht="16.2" thickBot="1" x14ac:dyDescent="0.35">
      <c r="B37" s="7"/>
      <c r="F37" s="45" t="str">
        <f>F24</f>
        <v>FY 2015</v>
      </c>
      <c r="G37" s="45" t="str">
        <f t="shared" ref="G37:M37" si="5">G24</f>
        <v>FY 2016</v>
      </c>
      <c r="H37" s="46" t="str">
        <f t="shared" si="5"/>
        <v>FY 2017</v>
      </c>
      <c r="I37" s="47" t="str">
        <f t="shared" si="5"/>
        <v>FY 2018E</v>
      </c>
      <c r="J37" s="47" t="str">
        <f t="shared" si="5"/>
        <v>FY 2019E</v>
      </c>
      <c r="K37" s="47" t="str">
        <f t="shared" si="5"/>
        <v>FY 2020E</v>
      </c>
      <c r="L37" s="47" t="str">
        <f t="shared" si="5"/>
        <v>FY 2021E</v>
      </c>
      <c r="M37" s="48" t="str">
        <f t="shared" si="5"/>
        <v>FY 2022E</v>
      </c>
      <c r="P37" s="203" t="s">
        <v>12</v>
      </c>
      <c r="Q37" s="204"/>
      <c r="R37" s="49" t="s">
        <v>2</v>
      </c>
      <c r="S37" s="49" t="s">
        <v>3</v>
      </c>
      <c r="T37" s="49" t="s">
        <v>4</v>
      </c>
      <c r="U37" s="49" t="s">
        <v>5</v>
      </c>
      <c r="V37" s="50" t="s">
        <v>6</v>
      </c>
    </row>
    <row r="38" spans="2:25" x14ac:dyDescent="0.3">
      <c r="B38" s="7" t="s">
        <v>65</v>
      </c>
      <c r="F38" s="47"/>
      <c r="G38" s="47"/>
      <c r="H38" s="47"/>
      <c r="I38" s="65">
        <v>0.03</v>
      </c>
      <c r="J38" s="66">
        <v>0.04</v>
      </c>
      <c r="K38" s="66">
        <v>0.04</v>
      </c>
      <c r="L38" s="66">
        <v>0.02</v>
      </c>
      <c r="M38" s="67">
        <v>-0.03</v>
      </c>
      <c r="P38" s="53" t="s">
        <v>7</v>
      </c>
      <c r="Q38" s="54"/>
      <c r="R38" s="55">
        <v>0.2</v>
      </c>
      <c r="S38" s="55">
        <v>0.2</v>
      </c>
      <c r="T38" s="55">
        <v>0.2</v>
      </c>
      <c r="U38" s="55">
        <v>0.2</v>
      </c>
      <c r="V38" s="56">
        <v>0.2</v>
      </c>
    </row>
    <row r="39" spans="2:25" x14ac:dyDescent="0.3">
      <c r="B39" s="7" t="s">
        <v>66</v>
      </c>
      <c r="F39" s="47"/>
      <c r="G39" s="47"/>
      <c r="H39" s="47"/>
      <c r="I39" s="68">
        <v>0.01</v>
      </c>
      <c r="J39" s="69">
        <v>0.01</v>
      </c>
      <c r="K39" s="69">
        <v>0.03</v>
      </c>
      <c r="L39" s="69">
        <v>0</v>
      </c>
      <c r="M39" s="70">
        <v>-0.02</v>
      </c>
      <c r="P39" s="53" t="s">
        <v>8</v>
      </c>
      <c r="Q39" s="54"/>
      <c r="R39" s="55">
        <v>0.46</v>
      </c>
      <c r="S39" s="55">
        <v>0.46</v>
      </c>
      <c r="T39" s="55">
        <v>0.46</v>
      </c>
      <c r="U39" s="55">
        <v>0.46</v>
      </c>
      <c r="V39" s="56">
        <v>0.46</v>
      </c>
    </row>
    <row r="40" spans="2:25" x14ac:dyDescent="0.3">
      <c r="B40" s="7" t="s">
        <v>67</v>
      </c>
      <c r="I40" s="68">
        <v>0.06</v>
      </c>
      <c r="J40" s="71">
        <v>0.05</v>
      </c>
      <c r="K40" s="71">
        <v>0.03</v>
      </c>
      <c r="L40" s="71">
        <v>0.02</v>
      </c>
      <c r="M40" s="72">
        <v>0.02</v>
      </c>
      <c r="P40" s="53" t="s">
        <v>9</v>
      </c>
      <c r="Q40" s="54"/>
      <c r="R40" s="55">
        <v>1.4999999999999999E-2</v>
      </c>
      <c r="S40" s="55">
        <v>1.4999999999999999E-2</v>
      </c>
      <c r="T40" s="55">
        <v>1.4999999999999999E-2</v>
      </c>
      <c r="U40" s="55">
        <v>1.4999999999999999E-2</v>
      </c>
      <c r="V40" s="56">
        <v>1.4999999999999999E-2</v>
      </c>
    </row>
    <row r="41" spans="2:25" ht="16.2" thickBot="1" x14ac:dyDescent="0.35">
      <c r="B41" s="7" t="s">
        <v>68</v>
      </c>
      <c r="I41" s="73">
        <f>((1+I38)*(1+I39)*(1+I40))-1</f>
        <v>0.10271800000000009</v>
      </c>
      <c r="J41" s="71">
        <f>((1+J38)*(1+J39)*(1+J40))-1</f>
        <v>0.10292000000000012</v>
      </c>
      <c r="K41" s="71">
        <f>((1+K38)*(1+K39)*(1+K40))-1</f>
        <v>0.10333600000000009</v>
      </c>
      <c r="L41" s="71">
        <f>((1+L38)*(1+L39)*(1+L40))-1</f>
        <v>4.0399999999999991E-2</v>
      </c>
      <c r="M41" s="72">
        <f>((1+M38)*(1+M39)*(1+M40))-1</f>
        <v>-3.0387999999999971E-2</v>
      </c>
      <c r="P41" s="57" t="s">
        <v>10</v>
      </c>
      <c r="Q41" s="58"/>
      <c r="R41" s="59">
        <v>0.06</v>
      </c>
      <c r="S41" s="59">
        <v>0.06</v>
      </c>
      <c r="T41" s="59">
        <v>0.06</v>
      </c>
      <c r="U41" s="59">
        <v>0.06</v>
      </c>
      <c r="V41" s="60">
        <v>0.06</v>
      </c>
    </row>
    <row r="42" spans="2:25" x14ac:dyDescent="0.3">
      <c r="B42" s="7"/>
      <c r="I42" s="73"/>
      <c r="J42" s="71"/>
      <c r="K42" s="71"/>
      <c r="L42" s="71"/>
      <c r="M42" s="72"/>
    </row>
    <row r="43" spans="2:25" x14ac:dyDescent="0.3">
      <c r="B43" s="7" t="s">
        <v>69</v>
      </c>
      <c r="I43" s="73">
        <v>0.02</v>
      </c>
      <c r="J43" s="71">
        <v>0.03</v>
      </c>
      <c r="K43" s="71">
        <v>0.04</v>
      </c>
      <c r="L43" s="71">
        <v>0.05</v>
      </c>
      <c r="M43" s="72">
        <v>-0.08</v>
      </c>
    </row>
    <row r="44" spans="2:25" x14ac:dyDescent="0.3">
      <c r="B44" s="7" t="s">
        <v>70</v>
      </c>
      <c r="I44" s="73">
        <v>0.01</v>
      </c>
      <c r="J44" s="71">
        <v>0.01</v>
      </c>
      <c r="K44" s="71">
        <v>5.0000000000000001E-3</v>
      </c>
      <c r="L44" s="71">
        <v>0</v>
      </c>
      <c r="M44" s="72">
        <v>-0.01</v>
      </c>
    </row>
    <row r="45" spans="2:25" x14ac:dyDescent="0.3">
      <c r="B45" s="7" t="s">
        <v>71</v>
      </c>
      <c r="I45" s="73">
        <v>0.02</v>
      </c>
      <c r="J45" s="71">
        <v>0.03</v>
      </c>
      <c r="K45" s="71">
        <v>0.05</v>
      </c>
      <c r="L45" s="71">
        <v>0.03</v>
      </c>
      <c r="M45" s="72">
        <v>0.02</v>
      </c>
    </row>
    <row r="46" spans="2:25" x14ac:dyDescent="0.3">
      <c r="B46" s="7" t="s">
        <v>72</v>
      </c>
      <c r="I46" s="73">
        <f>((1+I43)*(1+I44)*(1+I45))-1</f>
        <v>5.0804000000000071E-2</v>
      </c>
      <c r="J46" s="71">
        <f>((1+J43)*(1+J44)*(1+J45))-1</f>
        <v>7.1509000000000045E-2</v>
      </c>
      <c r="K46" s="71">
        <f>((1+K43)*(1+K44)*(1+K45))-1</f>
        <v>9.745999999999988E-2</v>
      </c>
      <c r="L46" s="71">
        <f>((1+L43)*(1+L44)*(1+L45))-1</f>
        <v>8.1500000000000128E-2</v>
      </c>
      <c r="M46" s="72">
        <f>((1+M43)*(1+M44)*(1+M45))-1</f>
        <v>-7.0983999999999936E-2</v>
      </c>
    </row>
    <row r="47" spans="2:25" ht="16.2" thickBot="1" x14ac:dyDescent="0.35">
      <c r="B47" s="7"/>
      <c r="I47" s="73"/>
      <c r="J47" s="71"/>
      <c r="K47" s="71"/>
      <c r="L47" s="71"/>
      <c r="M47" s="72"/>
    </row>
    <row r="48" spans="2:25" ht="24" thickBot="1" x14ac:dyDescent="0.5">
      <c r="B48" s="7" t="s">
        <v>7</v>
      </c>
      <c r="F48" s="74">
        <f>F75/19315-1</f>
        <v>0.2891535076365519</v>
      </c>
      <c r="G48" s="74">
        <f>G75/F75-1</f>
        <v>0.51807228915662651</v>
      </c>
      <c r="H48" s="74">
        <f>H75/G75-1</f>
        <v>0.13756613756613767</v>
      </c>
      <c r="I48" s="180">
        <f>IF($L$15=1,R26,IF($L$15=2,R32, IF($L$15=3,R38,)))</f>
        <v>0.1</v>
      </c>
      <c r="J48" s="180">
        <f t="shared" ref="J48:M48" si="6">IF($L$15=1,S26,IF($L$15=2,S32, IF($L$15=3,S38,)))</f>
        <v>0.11</v>
      </c>
      <c r="K48" s="180">
        <f t="shared" si="6"/>
        <v>0.1</v>
      </c>
      <c r="L48" s="180">
        <f t="shared" si="6"/>
        <v>0.1</v>
      </c>
      <c r="M48" s="180">
        <f t="shared" si="6"/>
        <v>0.1</v>
      </c>
    </row>
    <row r="49" spans="2:13" ht="24" thickBot="1" x14ac:dyDescent="0.5">
      <c r="B49" s="7" t="s">
        <v>8</v>
      </c>
      <c r="F49" s="74">
        <f>F76/F75</f>
        <v>0.65389558232931722</v>
      </c>
      <c r="G49" s="74">
        <f>G76/G75</f>
        <v>0.63620811287477952</v>
      </c>
      <c r="H49" s="74">
        <f>H76/H75</f>
        <v>0.588937984496124</v>
      </c>
      <c r="I49" s="180">
        <f t="shared" ref="I49:I51" si="7">IF($L$15=1,R27,IF($L$15=2,R33, IF($L$15=3,R39,)))</f>
        <v>0.505</v>
      </c>
      <c r="J49" s="180">
        <f t="shared" ref="J49:J51" si="8">IF($L$15=1,S27,IF($L$15=2,S33, IF($L$15=3,S39,)))</f>
        <v>0.51250000000000007</v>
      </c>
      <c r="K49" s="180">
        <f t="shared" ref="K49:K51" si="9">IF($L$15=1,T27,IF($L$15=2,T33, IF($L$15=3,T39,)))</f>
        <v>0.52</v>
      </c>
      <c r="L49" s="180">
        <f t="shared" ref="L49:L51" si="10">IF($L$15=1,U27,IF($L$15=2,U33, IF($L$15=3,U39,)))</f>
        <v>0.52750000000000008</v>
      </c>
      <c r="M49" s="180">
        <f t="shared" ref="M49:M51" si="11">IF($L$15=1,V27,IF($L$15=2,V33, IF($L$15=3,V39,)))</f>
        <v>0.53500000000000003</v>
      </c>
    </row>
    <row r="50" spans="2:13" ht="24" thickBot="1" x14ac:dyDescent="0.5">
      <c r="B50" s="7" t="s">
        <v>9</v>
      </c>
      <c r="F50" s="74">
        <f>F79/F75</f>
        <v>2.3935742971887549E-2</v>
      </c>
      <c r="G50" s="74">
        <f>G79/G75</f>
        <v>2.0070546737213403E-2</v>
      </c>
      <c r="H50" s="74">
        <f>H79/H75</f>
        <v>1.9310077519379847E-2</v>
      </c>
      <c r="I50" s="180">
        <f t="shared" si="7"/>
        <v>0.02</v>
      </c>
      <c r="J50" s="180">
        <f t="shared" si="8"/>
        <v>1.9310077519379847E-2</v>
      </c>
      <c r="K50" s="180">
        <f t="shared" si="9"/>
        <v>1.9310077519379847E-2</v>
      </c>
      <c r="L50" s="180">
        <f t="shared" si="10"/>
        <v>1.9310077519379847E-2</v>
      </c>
      <c r="M50" s="180">
        <f t="shared" si="11"/>
        <v>1.9310077519379847E-2</v>
      </c>
    </row>
    <row r="51" spans="2:13" ht="23.4" x14ac:dyDescent="0.45">
      <c r="B51" s="7" t="s">
        <v>10</v>
      </c>
      <c r="F51" s="74">
        <f>F80/F75</f>
        <v>0.10939759036144578</v>
      </c>
      <c r="G51" s="74">
        <f>G80/G75</f>
        <v>8.8483245149911807E-2</v>
      </c>
      <c r="H51" s="74">
        <f>H80/H75</f>
        <v>8.2937984496124037E-2</v>
      </c>
      <c r="I51" s="180">
        <f t="shared" si="7"/>
        <v>0.08</v>
      </c>
      <c r="J51" s="180">
        <f t="shared" si="8"/>
        <v>8.2937984496124037E-2</v>
      </c>
      <c r="K51" s="180">
        <f t="shared" si="9"/>
        <v>8.2937984496124037E-2</v>
      </c>
      <c r="L51" s="180">
        <f t="shared" si="10"/>
        <v>8.2937984496124037E-2</v>
      </c>
      <c r="M51" s="180">
        <f t="shared" si="11"/>
        <v>8.2937984496124037E-2</v>
      </c>
    </row>
    <row r="52" spans="2:13" x14ac:dyDescent="0.3">
      <c r="B52" s="7"/>
      <c r="F52" s="74"/>
      <c r="G52" s="74"/>
      <c r="H52" s="74"/>
      <c r="I52" s="75"/>
      <c r="J52" s="74"/>
      <c r="K52" s="74"/>
      <c r="L52" s="74"/>
      <c r="M52" s="76"/>
    </row>
    <row r="53" spans="2:13" x14ac:dyDescent="0.3">
      <c r="B53" s="7" t="s">
        <v>73</v>
      </c>
      <c r="F53" s="74">
        <f>F85/F75</f>
        <v>9.7188755020080324E-3</v>
      </c>
      <c r="G53" s="74">
        <f>G85/G75</f>
        <v>1.3650793650793651E-2</v>
      </c>
      <c r="H53" s="74">
        <f>H85/H75</f>
        <v>1.6511627906976745E-2</v>
      </c>
      <c r="I53" s="75">
        <f t="shared" ref="I53:M54" si="12">H53</f>
        <v>1.6511627906976745E-2</v>
      </c>
      <c r="J53" s="74">
        <f t="shared" si="12"/>
        <v>1.6511627906976745E-2</v>
      </c>
      <c r="K53" s="74">
        <f t="shared" si="12"/>
        <v>1.6511627906976745E-2</v>
      </c>
      <c r="L53" s="74">
        <f t="shared" si="12"/>
        <v>1.6511627906976745E-2</v>
      </c>
      <c r="M53" s="76">
        <f t="shared" si="12"/>
        <v>1.6511627906976745E-2</v>
      </c>
    </row>
    <row r="54" spans="2:13" x14ac:dyDescent="0.3">
      <c r="B54" s="7" t="s">
        <v>74</v>
      </c>
      <c r="F54" s="74">
        <f>F83/F75</f>
        <v>1.3132530120481928E-2</v>
      </c>
      <c r="G54" s="74">
        <f>G83/G75</f>
        <v>1.3121693121693121E-2</v>
      </c>
      <c r="H54" s="74">
        <f>H83/H75</f>
        <v>1.7069767441860464E-2</v>
      </c>
      <c r="I54" s="75">
        <f t="shared" si="12"/>
        <v>1.7069767441860464E-2</v>
      </c>
      <c r="J54" s="74">
        <f t="shared" si="12"/>
        <v>1.7069767441860464E-2</v>
      </c>
      <c r="K54" s="74">
        <f t="shared" si="12"/>
        <v>1.7069767441860464E-2</v>
      </c>
      <c r="L54" s="74">
        <f t="shared" si="12"/>
        <v>1.7069767441860464E-2</v>
      </c>
      <c r="M54" s="76">
        <f t="shared" si="12"/>
        <v>1.7069767441860464E-2</v>
      </c>
    </row>
    <row r="55" spans="2:13" x14ac:dyDescent="0.3">
      <c r="B55" s="7" t="s">
        <v>75</v>
      </c>
      <c r="F55" s="77">
        <v>5.2699999999999997E-2</v>
      </c>
      <c r="G55" s="77">
        <v>3.44E-2</v>
      </c>
      <c r="H55" s="77">
        <v>1.43E-2</v>
      </c>
      <c r="I55" s="78">
        <v>0.01</v>
      </c>
      <c r="J55" s="77">
        <v>0.01</v>
      </c>
      <c r="K55" s="77">
        <v>0.02</v>
      </c>
      <c r="L55" s="77">
        <v>0.02</v>
      </c>
      <c r="M55" s="79">
        <v>0.03</v>
      </c>
    </row>
    <row r="56" spans="2:13" x14ac:dyDescent="0.3">
      <c r="B56" s="7" t="s">
        <v>76</v>
      </c>
      <c r="F56" s="77">
        <v>0</v>
      </c>
      <c r="G56" s="77">
        <v>0</v>
      </c>
      <c r="H56" s="77">
        <v>0</v>
      </c>
      <c r="I56" s="78">
        <f>M9</f>
        <v>0.06</v>
      </c>
      <c r="J56" s="74">
        <f>I56+$M$10</f>
        <v>6.5000000000000002E-2</v>
      </c>
      <c r="K56" s="74">
        <f>J56+$M$10</f>
        <v>7.0000000000000007E-2</v>
      </c>
      <c r="L56" s="74">
        <f>K56+$M$10</f>
        <v>7.5000000000000011E-2</v>
      </c>
      <c r="M56" s="80">
        <f>L56+$M$10</f>
        <v>8.0000000000000016E-2</v>
      </c>
    </row>
    <row r="57" spans="2:13" x14ac:dyDescent="0.3">
      <c r="B57" s="7" t="s">
        <v>77</v>
      </c>
      <c r="F57" s="74">
        <f>F92/F91</f>
        <v>0.2835960960960961</v>
      </c>
      <c r="G57" s="74">
        <f>G92/G91</f>
        <v>0.3055315471045808</v>
      </c>
      <c r="H57" s="74">
        <f>H92/H91</f>
        <v>0.31502343557273249</v>
      </c>
      <c r="I57" s="81">
        <f>Tax_Rate</f>
        <v>0.2</v>
      </c>
      <c r="J57" s="82">
        <f>Tax_Rate</f>
        <v>0.2</v>
      </c>
      <c r="K57" s="82">
        <f>Tax_Rate</f>
        <v>0.2</v>
      </c>
      <c r="L57" s="82">
        <f>Tax_Rate</f>
        <v>0.2</v>
      </c>
      <c r="M57" s="80">
        <f>Tax_Rate</f>
        <v>0.2</v>
      </c>
    </row>
    <row r="58" spans="2:13" x14ac:dyDescent="0.3">
      <c r="B58" s="7"/>
      <c r="I58" s="83"/>
      <c r="M58" s="84"/>
    </row>
    <row r="59" spans="2:13" x14ac:dyDescent="0.3">
      <c r="B59" s="7" t="s">
        <v>78</v>
      </c>
      <c r="G59" s="74">
        <f>G110/G75</f>
        <v>6.4074074074074075E-2</v>
      </c>
      <c r="H59" s="74">
        <f>H110/H75</f>
        <v>7.8162790697674414E-2</v>
      </c>
      <c r="I59" s="85">
        <f>I60/Days_In_Year</f>
        <v>7.8162790697674414E-2</v>
      </c>
      <c r="J59" s="86">
        <f>J60/Days_In_Year</f>
        <v>7.8162790697674414E-2</v>
      </c>
      <c r="K59" s="86">
        <f>K60/Days_In_Year</f>
        <v>7.8162790697674414E-2</v>
      </c>
      <c r="L59" s="86">
        <f>L60/Days_In_Year</f>
        <v>7.8162790697674414E-2</v>
      </c>
      <c r="M59" s="87">
        <f>M60/Days_In_Year</f>
        <v>7.8162790697674414E-2</v>
      </c>
    </row>
    <row r="60" spans="2:13" x14ac:dyDescent="0.3">
      <c r="B60" s="7" t="s">
        <v>79</v>
      </c>
      <c r="G60" s="88">
        <f>G59*Days_In_Year</f>
        <v>23.066666666666666</v>
      </c>
      <c r="H60" s="88">
        <f>H59*Days_In_Year</f>
        <v>28.13860465116279</v>
      </c>
      <c r="I60" s="89">
        <f t="shared" ref="I60:M61" si="13">H60</f>
        <v>28.13860465116279</v>
      </c>
      <c r="J60" s="88">
        <f t="shared" si="13"/>
        <v>28.13860465116279</v>
      </c>
      <c r="K60" s="88">
        <f t="shared" si="13"/>
        <v>28.13860465116279</v>
      </c>
      <c r="L60" s="88">
        <f t="shared" si="13"/>
        <v>28.13860465116279</v>
      </c>
      <c r="M60" s="90">
        <f t="shared" si="13"/>
        <v>28.13860465116279</v>
      </c>
    </row>
    <row r="61" spans="2:13" x14ac:dyDescent="0.3">
      <c r="B61" s="7" t="s">
        <v>80</v>
      </c>
      <c r="G61" s="74">
        <f>G111/G76</f>
        <v>2.1165414575998669E-2</v>
      </c>
      <c r="H61" s="74">
        <f>H111/H76</f>
        <v>1.7966909296723836E-2</v>
      </c>
      <c r="I61" s="75">
        <f t="shared" si="13"/>
        <v>1.7966909296723836E-2</v>
      </c>
      <c r="J61" s="74">
        <f t="shared" si="13"/>
        <v>1.7966909296723836E-2</v>
      </c>
      <c r="K61" s="74">
        <f t="shared" si="13"/>
        <v>1.7966909296723836E-2</v>
      </c>
      <c r="L61" s="74">
        <f t="shared" si="13"/>
        <v>1.7966909296723836E-2</v>
      </c>
      <c r="M61" s="76">
        <f t="shared" si="13"/>
        <v>1.7966909296723836E-2</v>
      </c>
    </row>
    <row r="62" spans="2:13" x14ac:dyDescent="0.3">
      <c r="B62" s="7" t="s">
        <v>81</v>
      </c>
      <c r="F62" s="31"/>
      <c r="G62" s="31"/>
      <c r="H62" s="31"/>
      <c r="I62" s="91">
        <v>40</v>
      </c>
      <c r="J62" s="31">
        <v>37</v>
      </c>
      <c r="K62" s="31">
        <v>28</v>
      </c>
      <c r="L62" s="31">
        <v>13</v>
      </c>
      <c r="M62" s="92">
        <v>10</v>
      </c>
    </row>
    <row r="63" spans="2:13" x14ac:dyDescent="0.3">
      <c r="B63" s="7"/>
      <c r="G63" s="93"/>
      <c r="H63" s="93"/>
      <c r="I63" s="94"/>
      <c r="J63" s="93"/>
      <c r="K63" s="93"/>
      <c r="L63" s="93"/>
      <c r="M63" s="95"/>
    </row>
    <row r="64" spans="2:13" x14ac:dyDescent="0.3">
      <c r="B64" s="7" t="s">
        <v>82</v>
      </c>
      <c r="G64" s="74">
        <f>G126/G76</f>
        <v>0.22953455493028024</v>
      </c>
      <c r="H64" s="74">
        <f>H126/H76</f>
        <v>0.22117067905703344</v>
      </c>
      <c r="I64" s="85">
        <f>I65/Days_In_Year</f>
        <v>0.22117067905703341</v>
      </c>
      <c r="J64" s="86">
        <f>J65/Days_In_Year</f>
        <v>0.22117067905703341</v>
      </c>
      <c r="K64" s="86">
        <f>K65/Days_In_Year</f>
        <v>0.22117067905703341</v>
      </c>
      <c r="L64" s="86">
        <f>L65/Days_In_Year</f>
        <v>0.22117067905703341</v>
      </c>
      <c r="M64" s="87">
        <f>M65/Days_In_Year</f>
        <v>0.22117067905703341</v>
      </c>
    </row>
    <row r="65" spans="2:13" x14ac:dyDescent="0.3">
      <c r="B65" s="7" t="s">
        <v>83</v>
      </c>
      <c r="G65" s="88">
        <f>G64*Days_In_Year</f>
        <v>82.632439774900888</v>
      </c>
      <c r="H65" s="88">
        <f>H64*Days_In_Year</f>
        <v>79.621444460532032</v>
      </c>
      <c r="I65" s="89">
        <f t="shared" ref="I65:M68" si="14">H65</f>
        <v>79.621444460532032</v>
      </c>
      <c r="J65" s="88">
        <f t="shared" si="14"/>
        <v>79.621444460532032</v>
      </c>
      <c r="K65" s="88">
        <f t="shared" si="14"/>
        <v>79.621444460532032</v>
      </c>
      <c r="L65" s="88">
        <f t="shared" si="14"/>
        <v>79.621444460532032</v>
      </c>
      <c r="M65" s="90">
        <f t="shared" si="14"/>
        <v>79.621444460532032</v>
      </c>
    </row>
    <row r="66" spans="2:13" x14ac:dyDescent="0.3">
      <c r="B66" s="7" t="s">
        <v>84</v>
      </c>
      <c r="G66" s="74">
        <f>G127/G81</f>
        <v>1.0294069861900894</v>
      </c>
      <c r="H66" s="74">
        <f>H127/H81</f>
        <v>0.87611827141774068</v>
      </c>
      <c r="I66" s="75">
        <f t="shared" si="14"/>
        <v>0.87611827141774068</v>
      </c>
      <c r="J66" s="74">
        <f t="shared" si="14"/>
        <v>0.87611827141774068</v>
      </c>
      <c r="K66" s="74">
        <f t="shared" si="14"/>
        <v>0.87611827141774068</v>
      </c>
      <c r="L66" s="74">
        <f t="shared" si="14"/>
        <v>0.87611827141774068</v>
      </c>
      <c r="M66" s="76">
        <f t="shared" si="14"/>
        <v>0.87611827141774068</v>
      </c>
    </row>
    <row r="67" spans="2:13" x14ac:dyDescent="0.3">
      <c r="B67" s="7" t="s">
        <v>85</v>
      </c>
      <c r="G67" s="74">
        <f>G128/G75</f>
        <v>4.2777777777777776E-2</v>
      </c>
      <c r="H67" s="74">
        <f>H128/H75</f>
        <v>4.7744186046511629E-2</v>
      </c>
      <c r="I67" s="75">
        <f t="shared" si="14"/>
        <v>4.7744186046511629E-2</v>
      </c>
      <c r="J67" s="74">
        <f t="shared" si="14"/>
        <v>4.7744186046511629E-2</v>
      </c>
      <c r="K67" s="74">
        <f t="shared" si="14"/>
        <v>4.7744186046511629E-2</v>
      </c>
      <c r="L67" s="74">
        <f t="shared" si="14"/>
        <v>4.7744186046511629E-2</v>
      </c>
      <c r="M67" s="76">
        <f t="shared" si="14"/>
        <v>4.7744186046511629E-2</v>
      </c>
    </row>
    <row r="68" spans="2:13" x14ac:dyDescent="0.3">
      <c r="B68" s="7" t="s">
        <v>86</v>
      </c>
      <c r="G68" s="74">
        <f>G132/G75</f>
        <v>2.0317460317460317E-2</v>
      </c>
      <c r="H68" s="74">
        <f>H132/H75</f>
        <v>1.9837209302325583E-2</v>
      </c>
      <c r="I68" s="75">
        <f t="shared" si="14"/>
        <v>1.9837209302325583E-2</v>
      </c>
      <c r="J68" s="74">
        <f t="shared" si="14"/>
        <v>1.9837209302325583E-2</v>
      </c>
      <c r="K68" s="74">
        <f t="shared" si="14"/>
        <v>1.9837209302325583E-2</v>
      </c>
      <c r="L68" s="74">
        <f t="shared" si="14"/>
        <v>1.9837209302325583E-2</v>
      </c>
      <c r="M68" s="76">
        <f t="shared" si="14"/>
        <v>1.9837209302325583E-2</v>
      </c>
    </row>
    <row r="69" spans="2:13" x14ac:dyDescent="0.3">
      <c r="B69" s="7"/>
      <c r="I69" s="83"/>
      <c r="M69" s="84"/>
    </row>
    <row r="70" spans="2:13" ht="16.2" thickBot="1" x14ac:dyDescent="0.35">
      <c r="B70" s="96" t="s">
        <v>87</v>
      </c>
      <c r="C70" s="62"/>
      <c r="D70" s="62"/>
      <c r="E70" s="62"/>
      <c r="F70" s="97">
        <f>-F172/F75</f>
        <v>2.9518072289156625E-2</v>
      </c>
      <c r="G70" s="97">
        <f>-G172/G75</f>
        <v>2.8862433862433864E-2</v>
      </c>
      <c r="H70" s="97">
        <f>-H172/H75</f>
        <v>2.6604651162790698E-2</v>
      </c>
      <c r="I70" s="98">
        <f>H70</f>
        <v>2.6604651162790698E-2</v>
      </c>
      <c r="J70" s="99">
        <f>I70</f>
        <v>2.6604651162790698E-2</v>
      </c>
      <c r="K70" s="99">
        <f>J70</f>
        <v>2.6604651162790698E-2</v>
      </c>
      <c r="L70" s="99">
        <f>K70</f>
        <v>2.6604651162790698E-2</v>
      </c>
      <c r="M70" s="100">
        <f>L70</f>
        <v>2.6604651162790698E-2</v>
      </c>
    </row>
    <row r="72" spans="2:13" x14ac:dyDescent="0.3">
      <c r="B72" s="2" t="s">
        <v>88</v>
      </c>
      <c r="C72" s="3"/>
      <c r="D72" s="3"/>
      <c r="E72" s="3"/>
      <c r="F72" s="3"/>
      <c r="G72" s="3"/>
      <c r="H72" s="4"/>
      <c r="I72" s="4"/>
      <c r="J72" s="4"/>
      <c r="K72" s="4"/>
      <c r="L72" s="4"/>
      <c r="M72" s="5"/>
    </row>
    <row r="73" spans="2:13" x14ac:dyDescent="0.3">
      <c r="B73" s="7"/>
      <c r="F73" s="45" t="str">
        <f t="shared" ref="F73:M73" si="15">F$24</f>
        <v>FY 2015</v>
      </c>
      <c r="G73" s="45" t="str">
        <f t="shared" si="15"/>
        <v>FY 2016</v>
      </c>
      <c r="H73" s="46" t="str">
        <f t="shared" si="15"/>
        <v>FY 2017</v>
      </c>
      <c r="I73" s="45" t="str">
        <f t="shared" si="15"/>
        <v>FY 2018E</v>
      </c>
      <c r="J73" s="45" t="str">
        <f t="shared" si="15"/>
        <v>FY 2019E</v>
      </c>
      <c r="K73" s="45" t="str">
        <f t="shared" si="15"/>
        <v>FY 2020E</v>
      </c>
      <c r="L73" s="45" t="str">
        <f t="shared" si="15"/>
        <v>FY 2021E</v>
      </c>
      <c r="M73" s="46" t="str">
        <f t="shared" si="15"/>
        <v>FY 2022E</v>
      </c>
    </row>
    <row r="74" spans="2:13" x14ac:dyDescent="0.3">
      <c r="B74" s="7"/>
      <c r="H74" s="101"/>
      <c r="M74" s="101"/>
    </row>
    <row r="75" spans="2:13" x14ac:dyDescent="0.3">
      <c r="B75" s="9" t="s">
        <v>89</v>
      </c>
      <c r="F75" s="102">
        <v>24900</v>
      </c>
      <c r="G75" s="102">
        <v>37800</v>
      </c>
      <c r="H75" s="103">
        <v>43000</v>
      </c>
      <c r="I75" s="104">
        <f>H75*(1+I48)</f>
        <v>47300.000000000007</v>
      </c>
      <c r="J75" s="104">
        <f>I75*(1+J48)</f>
        <v>52503.000000000015</v>
      </c>
      <c r="K75" s="104">
        <f>J75*(1+K48)</f>
        <v>57753.300000000017</v>
      </c>
      <c r="L75" s="104">
        <f>K75*(1+L48)</f>
        <v>63528.630000000026</v>
      </c>
      <c r="M75" s="105">
        <f>L75*(1+M48)</f>
        <v>69881.493000000031</v>
      </c>
    </row>
    <row r="76" spans="2:13" x14ac:dyDescent="0.3">
      <c r="B76" s="7" t="s">
        <v>90</v>
      </c>
      <c r="F76" s="19">
        <f>16426-35-F$83/3</f>
        <v>16282</v>
      </c>
      <c r="G76" s="19">
        <f>24294-80-G$83/3</f>
        <v>24048.666666666668</v>
      </c>
      <c r="H76" s="106">
        <f>25683-114-H$83/3</f>
        <v>25324.333333333332</v>
      </c>
      <c r="I76" s="19">
        <f>I49*I75</f>
        <v>23886.500000000004</v>
      </c>
      <c r="J76" s="19">
        <f>J49*J75</f>
        <v>26907.787500000009</v>
      </c>
      <c r="K76" s="19">
        <f>K49*K75</f>
        <v>30031.716000000011</v>
      </c>
      <c r="L76" s="19">
        <f>L49*L75</f>
        <v>33511.352325000022</v>
      </c>
      <c r="M76" s="106">
        <f>M49*M75</f>
        <v>37386.598755000021</v>
      </c>
    </row>
    <row r="77" spans="2:13" x14ac:dyDescent="0.3">
      <c r="B77" s="107" t="s">
        <v>91</v>
      </c>
      <c r="F77" s="108">
        <f t="shared" ref="F77:M77" si="16">F75-F76</f>
        <v>8618</v>
      </c>
      <c r="G77" s="108">
        <f t="shared" si="16"/>
        <v>13751.333333333332</v>
      </c>
      <c r="H77" s="109">
        <f t="shared" si="16"/>
        <v>17675.666666666668</v>
      </c>
      <c r="I77" s="110">
        <f t="shared" si="16"/>
        <v>23413.500000000004</v>
      </c>
      <c r="J77" s="108">
        <f t="shared" si="16"/>
        <v>25595.212500000005</v>
      </c>
      <c r="K77" s="108">
        <f t="shared" si="16"/>
        <v>27721.584000000006</v>
      </c>
      <c r="L77" s="108">
        <f t="shared" si="16"/>
        <v>30017.277675000005</v>
      </c>
      <c r="M77" s="109">
        <f t="shared" si="16"/>
        <v>32494.89424500001</v>
      </c>
    </row>
    <row r="78" spans="2:13" x14ac:dyDescent="0.3">
      <c r="B78" s="7" t="s">
        <v>92</v>
      </c>
      <c r="H78" s="23"/>
      <c r="M78" s="23"/>
    </row>
    <row r="79" spans="2:13" x14ac:dyDescent="0.3">
      <c r="B79" s="27" t="s">
        <v>93</v>
      </c>
      <c r="F79" s="19">
        <f>782-77-F$83/3</f>
        <v>596</v>
      </c>
      <c r="G79" s="19">
        <f>1109-185-G$83/3</f>
        <v>758.66666666666663</v>
      </c>
      <c r="H79" s="106">
        <f>1333-258-H$83/3</f>
        <v>830.33333333333337</v>
      </c>
      <c r="I79" s="19">
        <f>I50*I75</f>
        <v>946.00000000000011</v>
      </c>
      <c r="J79" s="19">
        <f>J50*J75</f>
        <v>1013.8370000000003</v>
      </c>
      <c r="K79" s="19">
        <f>K50*K75</f>
        <v>1115.2207000000005</v>
      </c>
      <c r="L79" s="19">
        <f>L50*L75</f>
        <v>1226.7427700000005</v>
      </c>
      <c r="M79" s="106">
        <f>M50*M75</f>
        <v>1349.4170470000008</v>
      </c>
    </row>
    <row r="80" spans="2:13" x14ac:dyDescent="0.3">
      <c r="B80" s="27" t="s">
        <v>94</v>
      </c>
      <c r="F80" s="19">
        <f>2963-130-F$83/3</f>
        <v>2724</v>
      </c>
      <c r="G80" s="19">
        <f>3761-251-G$83/3</f>
        <v>3344.6666666666665</v>
      </c>
      <c r="H80" s="106">
        <f>4149-338-H$83/3</f>
        <v>3566.3333333333335</v>
      </c>
      <c r="I80" s="19">
        <f>I51*I75</f>
        <v>3784.0000000000005</v>
      </c>
      <c r="J80" s="19">
        <f>J51*J75</f>
        <v>4354.4930000000013</v>
      </c>
      <c r="K80" s="19">
        <f>K51*K75</f>
        <v>4789.9423000000015</v>
      </c>
      <c r="L80" s="19">
        <f>L51*L75</f>
        <v>5268.9365300000027</v>
      </c>
      <c r="M80" s="106">
        <f>M51*M75</f>
        <v>5795.8301830000028</v>
      </c>
    </row>
    <row r="81" spans="2:19" x14ac:dyDescent="0.3">
      <c r="B81" s="111" t="s">
        <v>95</v>
      </c>
      <c r="C81" s="38"/>
      <c r="D81" s="38"/>
      <c r="E81" s="38"/>
      <c r="F81" s="36">
        <f t="shared" ref="F81:L81" si="17">SUM(F79:F80)</f>
        <v>3320</v>
      </c>
      <c r="G81" s="36">
        <f t="shared" si="17"/>
        <v>4103.333333333333</v>
      </c>
      <c r="H81" s="112">
        <f t="shared" si="17"/>
        <v>4396.666666666667</v>
      </c>
      <c r="I81" s="36">
        <f t="shared" si="17"/>
        <v>4730.0000000000009</v>
      </c>
      <c r="J81" s="36">
        <f t="shared" si="17"/>
        <v>5368.3300000000017</v>
      </c>
      <c r="K81" s="36">
        <f t="shared" si="17"/>
        <v>5905.1630000000023</v>
      </c>
      <c r="L81" s="36">
        <f t="shared" si="17"/>
        <v>6495.6793000000034</v>
      </c>
      <c r="M81" s="112">
        <f>SUM(M79:M80)</f>
        <v>7145.2472300000036</v>
      </c>
    </row>
    <row r="82" spans="2:19" x14ac:dyDescent="0.3">
      <c r="B82" s="113"/>
      <c r="F82" s="114"/>
      <c r="G82" s="114"/>
      <c r="H82" s="115"/>
      <c r="I82" s="114"/>
      <c r="J82" s="114"/>
      <c r="K82" s="114"/>
      <c r="L82" s="114"/>
      <c r="M82" s="115"/>
    </row>
    <row r="83" spans="2:19" x14ac:dyDescent="0.3">
      <c r="B83" s="27" t="s">
        <v>96</v>
      </c>
      <c r="F83" s="31">
        <v>327</v>
      </c>
      <c r="G83" s="31">
        <v>496</v>
      </c>
      <c r="H83" s="12">
        <v>734</v>
      </c>
      <c r="I83" s="19">
        <f>I54*I75</f>
        <v>807.40000000000009</v>
      </c>
      <c r="J83" s="19">
        <f>J54*J75</f>
        <v>896.21400000000017</v>
      </c>
      <c r="K83" s="19">
        <f>K54*K75</f>
        <v>985.83540000000028</v>
      </c>
      <c r="L83" s="19">
        <f>L54*L75</f>
        <v>1084.4189400000005</v>
      </c>
      <c r="M83" s="106">
        <f>M54*M75</f>
        <v>1192.8608340000005</v>
      </c>
    </row>
    <row r="84" spans="2:19" x14ac:dyDescent="0.3">
      <c r="B84" s="27" t="s">
        <v>81</v>
      </c>
      <c r="F84" s="31">
        <v>0</v>
      </c>
      <c r="G84" s="31">
        <v>0</v>
      </c>
      <c r="H84" s="12">
        <v>0</v>
      </c>
      <c r="I84" s="19">
        <f>I62</f>
        <v>40</v>
      </c>
      <c r="J84" s="19">
        <f>J62</f>
        <v>37</v>
      </c>
      <c r="K84" s="19">
        <f>K62</f>
        <v>28</v>
      </c>
      <c r="L84" s="19">
        <f>L62</f>
        <v>13</v>
      </c>
      <c r="M84" s="106">
        <f>M62</f>
        <v>10</v>
      </c>
    </row>
    <row r="85" spans="2:19" x14ac:dyDescent="0.3">
      <c r="B85" s="27" t="s">
        <v>97</v>
      </c>
      <c r="F85" s="31">
        <v>242</v>
      </c>
      <c r="G85" s="31">
        <v>516</v>
      </c>
      <c r="H85" s="12">
        <v>710</v>
      </c>
      <c r="I85" s="19">
        <f>I53*I75</f>
        <v>781.00000000000011</v>
      </c>
      <c r="J85" s="19">
        <f>J53*J75</f>
        <v>866.91000000000031</v>
      </c>
      <c r="K85" s="19">
        <f>K53*K75</f>
        <v>953.60100000000034</v>
      </c>
      <c r="L85" s="19">
        <f>L53*L75</f>
        <v>1048.9611000000004</v>
      </c>
      <c r="M85" s="106">
        <f>M53*M75</f>
        <v>1153.8572100000006</v>
      </c>
    </row>
    <row r="86" spans="2:19" x14ac:dyDescent="0.3">
      <c r="B86" s="113"/>
      <c r="F86" s="114"/>
      <c r="G86" s="114"/>
      <c r="H86" s="115"/>
      <c r="I86" s="114"/>
      <c r="J86" s="114"/>
      <c r="K86" s="114"/>
      <c r="L86" s="114"/>
      <c r="M86" s="115"/>
    </row>
    <row r="87" spans="2:19" x14ac:dyDescent="0.3">
      <c r="B87" s="113" t="s">
        <v>98</v>
      </c>
      <c r="F87" s="108">
        <f t="shared" ref="F87:L87" si="18">F77-F81-F83-F84-F85</f>
        <v>4729</v>
      </c>
      <c r="G87" s="108">
        <f t="shared" si="18"/>
        <v>8636</v>
      </c>
      <c r="H87" s="109">
        <f t="shared" si="18"/>
        <v>11835</v>
      </c>
      <c r="I87" s="110">
        <f t="shared" si="18"/>
        <v>17055.100000000002</v>
      </c>
      <c r="J87" s="108">
        <f t="shared" si="18"/>
        <v>18426.758500000004</v>
      </c>
      <c r="K87" s="108">
        <f t="shared" si="18"/>
        <v>19848.984600000003</v>
      </c>
      <c r="L87" s="108">
        <f t="shared" si="18"/>
        <v>21375.218335000001</v>
      </c>
      <c r="M87" s="109">
        <f>M77-M81-M83-M84-M85</f>
        <v>22992.928971000005</v>
      </c>
    </row>
    <row r="88" spans="2:19" x14ac:dyDescent="0.3">
      <c r="B88" s="27" t="s">
        <v>99</v>
      </c>
      <c r="F88" s="31">
        <v>647</v>
      </c>
      <c r="G88" s="31">
        <v>653</v>
      </c>
      <c r="H88" s="12">
        <v>407</v>
      </c>
      <c r="I88" s="28">
        <v>424.2536377320622</v>
      </c>
      <c r="J88" s="28">
        <v>567.64936072666785</v>
      </c>
      <c r="K88" s="28">
        <v>1443.0609523951889</v>
      </c>
      <c r="L88" s="28">
        <v>1779.7118389722609</v>
      </c>
      <c r="M88" s="116">
        <v>3222.902302564717</v>
      </c>
    </row>
    <row r="89" spans="2:19" x14ac:dyDescent="0.3">
      <c r="B89" s="27" t="s">
        <v>100</v>
      </c>
      <c r="F89" s="31">
        <v>0</v>
      </c>
      <c r="G89" s="31">
        <v>0</v>
      </c>
      <c r="H89" s="12">
        <v>0</v>
      </c>
      <c r="I89" s="28">
        <f>-AVERAGE(H133,I133)*I56</f>
        <v>-3000</v>
      </c>
      <c r="J89" s="28">
        <f>-AVERAGE(I133,J133)*J56</f>
        <v>-6500</v>
      </c>
      <c r="K89" s="28">
        <f>-AVERAGE(J133,K133)*K56</f>
        <v>-7000.0000000000009</v>
      </c>
      <c r="L89" s="28">
        <f>-AVERAGE(K133,L133)*L56</f>
        <v>-7500.0000000000009</v>
      </c>
      <c r="M89" s="116">
        <f>-AVERAGE(L133,M133)*M56</f>
        <v>-8000.0000000000018</v>
      </c>
    </row>
    <row r="90" spans="2:19" x14ac:dyDescent="0.3">
      <c r="B90" s="27" t="s">
        <v>101</v>
      </c>
      <c r="F90" s="31">
        <v>-48</v>
      </c>
      <c r="G90" s="31">
        <v>-33</v>
      </c>
      <c r="H90" s="12">
        <v>-81</v>
      </c>
      <c r="I90" s="31">
        <v>0</v>
      </c>
      <c r="J90" s="19">
        <f>I90</f>
        <v>0</v>
      </c>
      <c r="K90" s="19">
        <f>J90</f>
        <v>0</v>
      </c>
      <c r="L90" s="19">
        <f>K90</f>
        <v>0</v>
      </c>
      <c r="M90" s="106">
        <f>L90</f>
        <v>0</v>
      </c>
    </row>
    <row r="91" spans="2:19" x14ac:dyDescent="0.3">
      <c r="B91" s="111" t="s">
        <v>102</v>
      </c>
      <c r="C91" s="38"/>
      <c r="D91" s="38"/>
      <c r="E91" s="38"/>
      <c r="F91" s="36">
        <f t="shared" ref="F91:M91" si="19">SUM(F87:F90)</f>
        <v>5328</v>
      </c>
      <c r="G91" s="36">
        <f t="shared" si="19"/>
        <v>9256</v>
      </c>
      <c r="H91" s="112">
        <f t="shared" si="19"/>
        <v>12161</v>
      </c>
      <c r="I91" s="36">
        <f>SUM(I87:I90)</f>
        <v>14479.353637732063</v>
      </c>
      <c r="J91" s="36">
        <f t="shared" si="19"/>
        <v>12494.407860726671</v>
      </c>
      <c r="K91" s="36">
        <f t="shared" si="19"/>
        <v>14292.045552395193</v>
      </c>
      <c r="L91" s="36">
        <f t="shared" si="19"/>
        <v>15654.930173972261</v>
      </c>
      <c r="M91" s="112">
        <f t="shared" si="19"/>
        <v>18215.83127356472</v>
      </c>
    </row>
    <row r="92" spans="2:19" x14ac:dyDescent="0.3">
      <c r="B92" s="117" t="s">
        <v>103</v>
      </c>
      <c r="F92" s="31">
        <v>1511</v>
      </c>
      <c r="G92" s="31">
        <v>2828</v>
      </c>
      <c r="H92" s="12">
        <v>3831</v>
      </c>
      <c r="I92" s="28">
        <f>I91*I57</f>
        <v>2895.870727546413</v>
      </c>
      <c r="J92" s="28">
        <f>J91*J57</f>
        <v>2498.8815721453343</v>
      </c>
      <c r="K92" s="28">
        <f>K91*K57</f>
        <v>2858.4091104790386</v>
      </c>
      <c r="L92" s="28">
        <f>L91*L57</f>
        <v>3130.9860347944523</v>
      </c>
      <c r="M92" s="116">
        <f>M91*M57</f>
        <v>3643.166254712944</v>
      </c>
    </row>
    <row r="93" spans="2:19" x14ac:dyDescent="0.3">
      <c r="B93" s="27"/>
      <c r="H93" s="23"/>
      <c r="M93" s="23"/>
    </row>
    <row r="94" spans="2:19" x14ac:dyDescent="0.3">
      <c r="B94" s="113" t="s">
        <v>104</v>
      </c>
      <c r="F94" s="108">
        <f t="shared" ref="F94:M94" si="20">F91-F92</f>
        <v>3817</v>
      </c>
      <c r="G94" s="108">
        <f t="shared" si="20"/>
        <v>6428</v>
      </c>
      <c r="H94" s="109">
        <f t="shared" si="20"/>
        <v>8330</v>
      </c>
      <c r="I94" s="108">
        <f>I91-I92</f>
        <v>11583.48291018565</v>
      </c>
      <c r="J94" s="108">
        <f t="shared" si="20"/>
        <v>9995.5262885813372</v>
      </c>
      <c r="K94" s="108">
        <f t="shared" si="20"/>
        <v>11433.636441916155</v>
      </c>
      <c r="L94" s="108">
        <f t="shared" si="20"/>
        <v>12523.944139177809</v>
      </c>
      <c r="M94" s="108">
        <f t="shared" si="20"/>
        <v>14572.665018851776</v>
      </c>
    </row>
    <row r="95" spans="2:19" x14ac:dyDescent="0.3">
      <c r="B95" s="27"/>
      <c r="H95" s="23"/>
      <c r="M95" s="23"/>
      <c r="O95" s="28"/>
      <c r="S95" s="28"/>
    </row>
    <row r="96" spans="2:19" x14ac:dyDescent="0.3">
      <c r="B96" s="113" t="s">
        <v>105</v>
      </c>
      <c r="F96" s="118">
        <f t="shared" ref="F96:M96" si="21">F94*Units/F97</f>
        <v>4.2921784970515873</v>
      </c>
      <c r="G96" s="118">
        <f t="shared" si="21"/>
        <v>7.1252877882454921</v>
      </c>
      <c r="H96" s="119">
        <f t="shared" si="21"/>
        <v>9.1840728551661783</v>
      </c>
      <c r="I96" s="118">
        <f>I94*Units/I97</f>
        <v>12.771134569473872</v>
      </c>
      <c r="J96" s="118">
        <f t="shared" si="21"/>
        <v>11.020365145265282</v>
      </c>
      <c r="K96" s="118">
        <f t="shared" si="21"/>
        <v>12.605924379596756</v>
      </c>
      <c r="L96" s="118">
        <f t="shared" si="21"/>
        <v>13.808021057411821</v>
      </c>
      <c r="M96" s="119">
        <f t="shared" si="21"/>
        <v>16.066796785962342</v>
      </c>
    </row>
    <row r="97" spans="2:13" x14ac:dyDescent="0.3">
      <c r="B97" s="117" t="s">
        <v>33</v>
      </c>
      <c r="F97" s="17">
        <v>889292</v>
      </c>
      <c r="G97" s="17">
        <v>902139</v>
      </c>
      <c r="H97" s="120">
        <v>907005</v>
      </c>
      <c r="I97" s="21">
        <f>H97</f>
        <v>907005</v>
      </c>
      <c r="J97" s="21">
        <f>I97</f>
        <v>907005</v>
      </c>
      <c r="K97" s="21">
        <f>J97</f>
        <v>907005</v>
      </c>
      <c r="L97" s="21">
        <f>K97</f>
        <v>907005</v>
      </c>
      <c r="M97" s="121">
        <f>L97</f>
        <v>907005</v>
      </c>
    </row>
    <row r="98" spans="2:13" x14ac:dyDescent="0.3">
      <c r="B98" s="117"/>
      <c r="F98" s="17"/>
      <c r="G98" s="17"/>
      <c r="H98" s="120"/>
      <c r="I98" s="21"/>
      <c r="J98" s="21"/>
      <c r="K98" s="21"/>
      <c r="L98" s="21"/>
      <c r="M98" s="121"/>
    </row>
    <row r="99" spans="2:13" x14ac:dyDescent="0.3">
      <c r="B99" s="107" t="s">
        <v>106</v>
      </c>
      <c r="F99" s="108">
        <f t="shared" ref="F99:M99" si="22">F87+F85</f>
        <v>4971</v>
      </c>
      <c r="G99" s="108">
        <f t="shared" si="22"/>
        <v>9152</v>
      </c>
      <c r="H99" s="109">
        <f t="shared" si="22"/>
        <v>12545</v>
      </c>
      <c r="I99" s="110">
        <f t="shared" si="22"/>
        <v>17836.100000000002</v>
      </c>
      <c r="J99" s="108">
        <f t="shared" si="22"/>
        <v>19293.668500000003</v>
      </c>
      <c r="K99" s="108">
        <f t="shared" si="22"/>
        <v>20802.585600000002</v>
      </c>
      <c r="L99" s="108">
        <f t="shared" si="22"/>
        <v>22424.179435000002</v>
      </c>
      <c r="M99" s="109">
        <f t="shared" si="22"/>
        <v>24146.786181000007</v>
      </c>
    </row>
    <row r="100" spans="2:13" x14ac:dyDescent="0.3">
      <c r="B100" s="107" t="s">
        <v>107</v>
      </c>
      <c r="E100" s="172" t="s">
        <v>108</v>
      </c>
      <c r="F100" s="108">
        <f t="shared" ref="F100:M100" si="23">F87+F85+F84+F83</f>
        <v>5298</v>
      </c>
      <c r="G100" s="108">
        <f t="shared" si="23"/>
        <v>9648</v>
      </c>
      <c r="H100" s="109">
        <f t="shared" si="23"/>
        <v>13279</v>
      </c>
      <c r="I100" s="110">
        <f t="shared" si="23"/>
        <v>18683.500000000004</v>
      </c>
      <c r="J100" s="108">
        <f t="shared" si="23"/>
        <v>20226.882500000003</v>
      </c>
      <c r="K100" s="108">
        <f t="shared" si="23"/>
        <v>21816.421000000002</v>
      </c>
      <c r="L100" s="108">
        <f t="shared" si="23"/>
        <v>23521.598375000001</v>
      </c>
      <c r="M100" s="109">
        <f t="shared" si="23"/>
        <v>25349.647015000006</v>
      </c>
    </row>
    <row r="101" spans="2:13" ht="21" x14ac:dyDescent="0.4">
      <c r="B101" s="122" t="s">
        <v>109</v>
      </c>
      <c r="C101" s="123"/>
      <c r="D101" s="123"/>
      <c r="E101" s="173">
        <v>-50000</v>
      </c>
      <c r="F101" s="124">
        <f t="shared" ref="F101:M101" si="24">F166+F172</f>
        <v>5057</v>
      </c>
      <c r="G101" s="124">
        <f t="shared" si="24"/>
        <v>8814</v>
      </c>
      <c r="H101" s="125">
        <f t="shared" si="24"/>
        <v>10406</v>
      </c>
      <c r="I101" s="126">
        <f t="shared" si="24"/>
        <v>11907.8491803712</v>
      </c>
      <c r="J101" s="124">
        <f t="shared" si="24"/>
        <v>11516.960874305127</v>
      </c>
      <c r="K101" s="124">
        <f t="shared" si="24"/>
        <v>12914.134189577824</v>
      </c>
      <c r="L101" s="124">
        <f t="shared" si="24"/>
        <v>14143.493427812724</v>
      </c>
      <c r="M101" s="125">
        <f t="shared" si="24"/>
        <v>16359.551179177959</v>
      </c>
    </row>
    <row r="102" spans="2:13" x14ac:dyDescent="0.3">
      <c r="B102" s="127" t="s">
        <v>110</v>
      </c>
      <c r="C102" s="62"/>
      <c r="D102" s="62"/>
      <c r="E102" s="62"/>
      <c r="F102" s="128"/>
      <c r="G102" s="129">
        <f t="shared" ref="G102:M102" si="25">(G122-G119-G120-G135)*Units/G97</f>
        <v>24.512852232305665</v>
      </c>
      <c r="H102" s="130">
        <f t="shared" si="25"/>
        <v>35.003114646556526</v>
      </c>
      <c r="I102" s="129">
        <f t="shared" si="25"/>
        <v>48.679426144492759</v>
      </c>
      <c r="J102" s="129">
        <f t="shared" si="25"/>
        <v>60.696378960167763</v>
      </c>
      <c r="K102" s="129">
        <f t="shared" si="25"/>
        <v>74.384547649332831</v>
      </c>
      <c r="L102" s="129">
        <f t="shared" si="25"/>
        <v>89.363412417639353</v>
      </c>
      <c r="M102" s="130">
        <f t="shared" si="25"/>
        <v>106.71339640764135</v>
      </c>
    </row>
    <row r="103" spans="2:13" x14ac:dyDescent="0.3">
      <c r="E103" s="175" t="s">
        <v>111</v>
      </c>
      <c r="F103" s="175" t="s">
        <v>112</v>
      </c>
      <c r="G103" s="175" t="s">
        <v>113</v>
      </c>
      <c r="H103" s="175" t="s">
        <v>114</v>
      </c>
      <c r="I103" s="175" t="s">
        <v>115</v>
      </c>
      <c r="J103" s="175" t="s">
        <v>116</v>
      </c>
      <c r="K103" s="175" t="s">
        <v>117</v>
      </c>
      <c r="L103" s="175" t="s">
        <v>118</v>
      </c>
      <c r="M103" s="175" t="s">
        <v>119</v>
      </c>
    </row>
    <row r="104" spans="2:13" x14ac:dyDescent="0.3">
      <c r="B104" s="2" t="s">
        <v>120</v>
      </c>
      <c r="C104" s="3"/>
      <c r="D104" s="3"/>
      <c r="E104" s="3"/>
      <c r="F104" s="3"/>
      <c r="G104" s="4"/>
      <c r="H104" s="4"/>
      <c r="I104" s="4"/>
      <c r="J104" s="4"/>
      <c r="K104" s="4"/>
      <c r="L104" s="4"/>
      <c r="M104" s="5"/>
    </row>
    <row r="105" spans="2:13" x14ac:dyDescent="0.3">
      <c r="B105" s="7"/>
      <c r="E105" s="47"/>
      <c r="F105" s="47"/>
      <c r="G105" s="45" t="str">
        <f t="shared" ref="G105:M105" si="26">G$24</f>
        <v>FY 2016</v>
      </c>
      <c r="H105" s="46" t="str">
        <f t="shared" si="26"/>
        <v>FY 2017</v>
      </c>
      <c r="I105" s="45" t="str">
        <f t="shared" si="26"/>
        <v>FY 2018E</v>
      </c>
      <c r="J105" s="45" t="str">
        <f t="shared" si="26"/>
        <v>FY 2019E</v>
      </c>
      <c r="K105" s="45" t="str">
        <f t="shared" si="26"/>
        <v>FY 2020E</v>
      </c>
      <c r="L105" s="45" t="str">
        <f t="shared" si="26"/>
        <v>FY 2021E</v>
      </c>
      <c r="M105" s="46" t="str">
        <f t="shared" si="26"/>
        <v>FY 2022E</v>
      </c>
    </row>
    <row r="106" spans="2:13" x14ac:dyDescent="0.3">
      <c r="B106" s="131" t="s">
        <v>121</v>
      </c>
      <c r="C106" s="132"/>
      <c r="D106" s="132"/>
      <c r="E106" s="133"/>
      <c r="F106" s="133"/>
      <c r="G106" s="133"/>
      <c r="H106" s="134"/>
      <c r="I106" s="38"/>
      <c r="M106" s="135"/>
    </row>
    <row r="107" spans="2:13" x14ac:dyDescent="0.3">
      <c r="B107" s="9" t="s">
        <v>122</v>
      </c>
      <c r="C107" s="136"/>
      <c r="D107" s="136"/>
      <c r="E107" s="136"/>
      <c r="G107" s="136"/>
      <c r="H107" s="137"/>
      <c r="M107" s="23"/>
    </row>
    <row r="108" spans="2:13" x14ac:dyDescent="0.3">
      <c r="B108" s="27" t="s">
        <v>123</v>
      </c>
      <c r="C108" s="138"/>
      <c r="D108" s="138"/>
      <c r="E108" s="31"/>
      <c r="G108" s="19">
        <f t="shared" ref="G108:M108" si="27">G187</f>
        <v>12184</v>
      </c>
      <c r="H108" s="106">
        <f t="shared" si="27"/>
        <v>6963</v>
      </c>
      <c r="I108" s="19">
        <f t="shared" si="27"/>
        <v>118870.84918037121</v>
      </c>
      <c r="J108" s="19">
        <f t="shared" si="27"/>
        <v>130387.81005467633</v>
      </c>
      <c r="K108" s="19">
        <f t="shared" si="27"/>
        <v>143301.94424425415</v>
      </c>
      <c r="L108" s="19">
        <f t="shared" si="27"/>
        <v>157445.43767206688</v>
      </c>
      <c r="M108" s="106">
        <f t="shared" si="27"/>
        <v>173804.98885124485</v>
      </c>
    </row>
    <row r="109" spans="2:13" x14ac:dyDescent="0.3">
      <c r="B109" s="27" t="s">
        <v>124</v>
      </c>
      <c r="C109" s="108"/>
      <c r="D109" s="104"/>
      <c r="E109" s="31"/>
      <c r="G109" s="31">
        <v>10236</v>
      </c>
      <c r="H109" s="106">
        <f t="shared" ref="H109:M109" si="28">G109-H169-H170</f>
        <v>26282</v>
      </c>
      <c r="I109" s="19">
        <f t="shared" si="28"/>
        <v>26282</v>
      </c>
      <c r="J109" s="19">
        <f t="shared" si="28"/>
        <v>26282</v>
      </c>
      <c r="K109" s="19">
        <f t="shared" si="28"/>
        <v>26282</v>
      </c>
      <c r="L109" s="19">
        <f t="shared" si="28"/>
        <v>26282</v>
      </c>
      <c r="M109" s="106">
        <f t="shared" si="28"/>
        <v>26282</v>
      </c>
    </row>
    <row r="110" spans="2:13" x14ac:dyDescent="0.3">
      <c r="B110" s="27" t="s">
        <v>125</v>
      </c>
      <c r="E110" s="31"/>
      <c r="G110" s="31">
        <v>2422</v>
      </c>
      <c r="H110" s="12">
        <v>3361</v>
      </c>
      <c r="I110" s="19">
        <f>I59*I75</f>
        <v>3697.1000000000004</v>
      </c>
      <c r="J110" s="19">
        <f>J59*J75</f>
        <v>4103.7810000000009</v>
      </c>
      <c r="K110" s="19">
        <f>K59*K75</f>
        <v>4514.1591000000008</v>
      </c>
      <c r="L110" s="19">
        <f>L59*L75</f>
        <v>4965.5750100000014</v>
      </c>
      <c r="M110" s="106">
        <f>M59*M75</f>
        <v>5462.1325110000025</v>
      </c>
    </row>
    <row r="111" spans="2:13" x14ac:dyDescent="0.3">
      <c r="B111" s="27" t="s">
        <v>126</v>
      </c>
      <c r="C111" s="138"/>
      <c r="D111" s="138"/>
      <c r="E111" s="31"/>
      <c r="G111" s="31">
        <v>509</v>
      </c>
      <c r="H111" s="12">
        <v>455</v>
      </c>
      <c r="I111" s="19">
        <f>I61*I76</f>
        <v>429.166578916194</v>
      </c>
      <c r="J111" s="19">
        <f>J61*J76</f>
        <v>483.44977738801958</v>
      </c>
      <c r="K111" s="19">
        <f>K61*K76</f>
        <v>539.57711739697015</v>
      </c>
      <c r="L111" s="19">
        <f>L61*L76</f>
        <v>602.09542763383081</v>
      </c>
      <c r="M111" s="106">
        <f>M61*M76</f>
        <v>671.72162874409366</v>
      </c>
    </row>
    <row r="112" spans="2:13" x14ac:dyDescent="0.3">
      <c r="B112" s="27" t="s">
        <v>127</v>
      </c>
      <c r="C112" s="138"/>
      <c r="D112" s="138"/>
      <c r="E112" s="31"/>
      <c r="G112" s="31">
        <v>1044</v>
      </c>
      <c r="H112" s="106">
        <f t="shared" ref="H112:M112" si="29">G112-H156</f>
        <v>4</v>
      </c>
      <c r="I112" s="19">
        <f t="shared" si="29"/>
        <v>4</v>
      </c>
      <c r="J112" s="19">
        <f t="shared" si="29"/>
        <v>4</v>
      </c>
      <c r="K112" s="19">
        <f t="shared" si="29"/>
        <v>4</v>
      </c>
      <c r="L112" s="19">
        <f t="shared" si="29"/>
        <v>4</v>
      </c>
      <c r="M112" s="106">
        <f t="shared" si="29"/>
        <v>4</v>
      </c>
    </row>
    <row r="113" spans="2:13" x14ac:dyDescent="0.3">
      <c r="B113" s="27" t="s">
        <v>128</v>
      </c>
      <c r="C113" s="108"/>
      <c r="D113" s="104"/>
      <c r="E113" s="31"/>
      <c r="G113" s="31">
        <v>3920</v>
      </c>
      <c r="H113" s="12">
        <v>3140</v>
      </c>
      <c r="I113" s="19">
        <f>H113</f>
        <v>3140</v>
      </c>
      <c r="J113" s="19">
        <f>I113</f>
        <v>3140</v>
      </c>
      <c r="K113" s="19">
        <f>J113</f>
        <v>3140</v>
      </c>
      <c r="L113" s="19">
        <f>K113</f>
        <v>3140</v>
      </c>
      <c r="M113" s="106">
        <f>L113</f>
        <v>3140</v>
      </c>
    </row>
    <row r="114" spans="2:13" x14ac:dyDescent="0.3">
      <c r="B114" s="139" t="s">
        <v>129</v>
      </c>
      <c r="C114" s="140"/>
      <c r="D114" s="141"/>
      <c r="E114" s="142"/>
      <c r="F114" s="38"/>
      <c r="G114" s="142">
        <f t="shared" ref="G114:M114" si="30">SUM(G108:G113)</f>
        <v>30315</v>
      </c>
      <c r="H114" s="143">
        <f t="shared" si="30"/>
        <v>40205</v>
      </c>
      <c r="I114" s="142">
        <f t="shared" si="30"/>
        <v>152423.11575928741</v>
      </c>
      <c r="J114" s="142">
        <f t="shared" si="30"/>
        <v>164401.04083206432</v>
      </c>
      <c r="K114" s="142">
        <f t="shared" si="30"/>
        <v>177781.68046165112</v>
      </c>
      <c r="L114" s="142">
        <f t="shared" si="30"/>
        <v>192439.10810970073</v>
      </c>
      <c r="M114" s="143">
        <f t="shared" si="30"/>
        <v>209364.84299098895</v>
      </c>
    </row>
    <row r="115" spans="2:13" x14ac:dyDescent="0.3">
      <c r="B115" s="7"/>
      <c r="C115" s="108"/>
      <c r="D115" s="104"/>
      <c r="E115" s="104"/>
      <c r="G115" s="104"/>
      <c r="H115" s="105"/>
      <c r="I115" s="104"/>
      <c r="J115" s="104"/>
      <c r="K115" s="104"/>
      <c r="L115" s="104"/>
      <c r="M115" s="105"/>
    </row>
    <row r="116" spans="2:13" x14ac:dyDescent="0.3">
      <c r="B116" s="9" t="s">
        <v>130</v>
      </c>
      <c r="C116" s="108"/>
      <c r="D116" s="104"/>
      <c r="E116" s="104"/>
      <c r="G116" s="104"/>
      <c r="H116" s="105"/>
      <c r="I116" s="104"/>
      <c r="J116" s="104"/>
      <c r="K116" s="104"/>
      <c r="L116" s="104"/>
      <c r="M116" s="105"/>
    </row>
    <row r="117" spans="2:13" x14ac:dyDescent="0.3">
      <c r="B117" s="27" t="s">
        <v>131</v>
      </c>
      <c r="C117" s="144"/>
      <c r="D117" s="19"/>
      <c r="E117" s="31"/>
      <c r="G117" s="31">
        <v>2379</v>
      </c>
      <c r="H117" s="106">
        <f t="shared" ref="H117:M117" si="31">G117-H171-H174</f>
        <v>2554</v>
      </c>
      <c r="I117" s="19">
        <f t="shared" si="31"/>
        <v>2554</v>
      </c>
      <c r="J117" s="19">
        <f t="shared" si="31"/>
        <v>2554</v>
      </c>
      <c r="K117" s="19">
        <f t="shared" si="31"/>
        <v>2554</v>
      </c>
      <c r="L117" s="19">
        <f t="shared" si="31"/>
        <v>2554</v>
      </c>
      <c r="M117" s="106">
        <f t="shared" si="31"/>
        <v>2554</v>
      </c>
    </row>
    <row r="118" spans="2:13" x14ac:dyDescent="0.3">
      <c r="B118" s="27" t="s">
        <v>132</v>
      </c>
      <c r="C118" s="108"/>
      <c r="D118" s="104"/>
      <c r="E118" s="31"/>
      <c r="G118" s="31">
        <v>2455</v>
      </c>
      <c r="H118" s="106">
        <f t="shared" ref="H118:M118" si="32">G118-H172-H153-H157</f>
        <v>2839</v>
      </c>
      <c r="I118" s="19">
        <f t="shared" si="32"/>
        <v>3289.9999999999995</v>
      </c>
      <c r="J118" s="19">
        <f t="shared" si="32"/>
        <v>3790.6099999999997</v>
      </c>
      <c r="K118" s="19">
        <f t="shared" si="32"/>
        <v>4341.2809999999999</v>
      </c>
      <c r="L118" s="19">
        <f t="shared" si="32"/>
        <v>4947.0191000000004</v>
      </c>
      <c r="M118" s="106">
        <f t="shared" si="32"/>
        <v>5613.3310099999999</v>
      </c>
    </row>
    <row r="119" spans="2:13" x14ac:dyDescent="0.3">
      <c r="B119" s="27" t="s">
        <v>133</v>
      </c>
      <c r="C119" s="145"/>
      <c r="D119" s="146"/>
      <c r="E119" s="31"/>
      <c r="G119" s="31">
        <v>207</v>
      </c>
      <c r="H119" s="106">
        <f t="shared" ref="H119:M119" si="33">G119</f>
        <v>207</v>
      </c>
      <c r="I119" s="19">
        <f t="shared" si="33"/>
        <v>207</v>
      </c>
      <c r="J119" s="19">
        <f t="shared" si="33"/>
        <v>207</v>
      </c>
      <c r="K119" s="19">
        <f t="shared" si="33"/>
        <v>207</v>
      </c>
      <c r="L119" s="19">
        <f t="shared" si="33"/>
        <v>207</v>
      </c>
      <c r="M119" s="106">
        <f t="shared" si="33"/>
        <v>207</v>
      </c>
    </row>
    <row r="120" spans="2:13" x14ac:dyDescent="0.3">
      <c r="B120" s="147" t="s">
        <v>134</v>
      </c>
      <c r="C120" s="148"/>
      <c r="D120" s="149"/>
      <c r="E120" s="31"/>
      <c r="G120" s="31">
        <v>285</v>
      </c>
      <c r="H120" s="106">
        <f t="shared" ref="H120:M120" si="34">G120-H154-H173</f>
        <v>354</v>
      </c>
      <c r="I120" s="19">
        <f t="shared" si="34"/>
        <v>314</v>
      </c>
      <c r="J120" s="19">
        <f t="shared" si="34"/>
        <v>277</v>
      </c>
      <c r="K120" s="19">
        <f t="shared" si="34"/>
        <v>249</v>
      </c>
      <c r="L120" s="19">
        <f t="shared" si="34"/>
        <v>236</v>
      </c>
      <c r="M120" s="106">
        <f t="shared" si="34"/>
        <v>226</v>
      </c>
    </row>
    <row r="121" spans="2:13" x14ac:dyDescent="0.3">
      <c r="B121" s="147" t="s">
        <v>135</v>
      </c>
      <c r="C121" s="148"/>
      <c r="D121" s="149"/>
      <c r="E121" s="31"/>
      <c r="G121" s="31">
        <v>839</v>
      </c>
      <c r="H121" s="12">
        <v>2011</v>
      </c>
      <c r="I121" s="19">
        <f>H121</f>
        <v>2011</v>
      </c>
      <c r="J121" s="19">
        <f>I121</f>
        <v>2011</v>
      </c>
      <c r="K121" s="19">
        <f>J121</f>
        <v>2011</v>
      </c>
      <c r="L121" s="19">
        <f>K121</f>
        <v>2011</v>
      </c>
      <c r="M121" s="106">
        <f>L121</f>
        <v>2011</v>
      </c>
    </row>
    <row r="122" spans="2:13" x14ac:dyDescent="0.3">
      <c r="B122" s="139" t="s">
        <v>136</v>
      </c>
      <c r="C122" s="140"/>
      <c r="D122" s="141"/>
      <c r="E122" s="142"/>
      <c r="F122" s="38"/>
      <c r="G122" s="142">
        <f t="shared" ref="G122:M122" si="35">SUM(G117:G121)+G114</f>
        <v>36480</v>
      </c>
      <c r="H122" s="143">
        <f t="shared" si="35"/>
        <v>48170</v>
      </c>
      <c r="I122" s="142">
        <f t="shared" si="35"/>
        <v>160799.11575928741</v>
      </c>
      <c r="J122" s="142">
        <f t="shared" si="35"/>
        <v>173240.65083206433</v>
      </c>
      <c r="K122" s="142">
        <f t="shared" si="35"/>
        <v>187143.96146165111</v>
      </c>
      <c r="L122" s="142">
        <f t="shared" si="35"/>
        <v>202394.12720970073</v>
      </c>
      <c r="M122" s="143">
        <f t="shared" si="35"/>
        <v>219976.17400098895</v>
      </c>
    </row>
    <row r="123" spans="2:13" x14ac:dyDescent="0.3">
      <c r="B123" s="150"/>
      <c r="C123" s="148"/>
      <c r="D123" s="149"/>
      <c r="E123" s="149"/>
      <c r="G123" s="149"/>
      <c r="H123" s="151"/>
      <c r="I123" s="149"/>
      <c r="J123" s="149"/>
      <c r="K123" s="149"/>
      <c r="L123" s="149"/>
      <c r="M123" s="151"/>
    </row>
    <row r="124" spans="2:13" x14ac:dyDescent="0.3">
      <c r="B124" s="152" t="s">
        <v>137</v>
      </c>
      <c r="C124" s="153"/>
      <c r="D124" s="154"/>
      <c r="E124" s="154"/>
      <c r="G124" s="155"/>
      <c r="H124" s="156"/>
      <c r="I124" s="155"/>
      <c r="J124" s="155"/>
      <c r="K124" s="155"/>
      <c r="L124" s="155"/>
      <c r="M124" s="156"/>
    </row>
    <row r="125" spans="2:13" x14ac:dyDescent="0.3">
      <c r="B125" s="9" t="s">
        <v>138</v>
      </c>
      <c r="C125" s="108"/>
      <c r="D125" s="104"/>
      <c r="E125" s="104"/>
      <c r="G125" s="104"/>
      <c r="H125" s="105"/>
      <c r="I125" s="104"/>
      <c r="J125" s="104"/>
      <c r="K125" s="104"/>
      <c r="L125" s="104"/>
      <c r="M125" s="105"/>
    </row>
    <row r="126" spans="2:13" x14ac:dyDescent="0.3">
      <c r="B126" s="27" t="s">
        <v>139</v>
      </c>
      <c r="C126" s="108"/>
      <c r="D126" s="104"/>
      <c r="E126" s="31"/>
      <c r="G126" s="31">
        <v>5520</v>
      </c>
      <c r="H126" s="12">
        <v>5601</v>
      </c>
      <c r="I126" s="19">
        <f>I64*I76</f>
        <v>5282.9934252958292</v>
      </c>
      <c r="J126" s="19">
        <f>J64*J76</f>
        <v>5951.2136332973578</v>
      </c>
      <c r="K126" s="19">
        <f>K64*K76</f>
        <v>6642.1350209679777</v>
      </c>
      <c r="L126" s="19">
        <f>L64*L76</f>
        <v>7411.7285498397505</v>
      </c>
      <c r="M126" s="106">
        <f>M64*M76</f>
        <v>8268.8194342761944</v>
      </c>
    </row>
    <row r="127" spans="2:13" x14ac:dyDescent="0.3">
      <c r="B127" s="27" t="s">
        <v>140</v>
      </c>
      <c r="C127" s="108"/>
      <c r="D127" s="104"/>
      <c r="E127" s="31"/>
      <c r="G127" s="31">
        <v>4224</v>
      </c>
      <c r="H127" s="12">
        <v>3852</v>
      </c>
      <c r="I127" s="19">
        <f>I66*I81</f>
        <v>4144.0394238059143</v>
      </c>
      <c r="J127" s="19">
        <f>J66*J81</f>
        <v>4703.2920000000013</v>
      </c>
      <c r="K127" s="19">
        <f>K66*K81</f>
        <v>5173.6212000000014</v>
      </c>
      <c r="L127" s="19">
        <f>L66*L81</f>
        <v>5690.983320000003</v>
      </c>
      <c r="M127" s="106">
        <f>M66*M81</f>
        <v>6260.0816520000026</v>
      </c>
    </row>
    <row r="128" spans="2:13" x14ac:dyDescent="0.3">
      <c r="B128" s="27" t="s">
        <v>141</v>
      </c>
      <c r="E128" s="31"/>
      <c r="G128" s="31">
        <v>1617</v>
      </c>
      <c r="H128" s="12">
        <v>2053</v>
      </c>
      <c r="I128" s="19">
        <f>I67*I75</f>
        <v>2258.3000000000002</v>
      </c>
      <c r="J128" s="19">
        <f>J67*J75</f>
        <v>2506.7130000000006</v>
      </c>
      <c r="K128" s="19">
        <f>K67*K75</f>
        <v>2757.3843000000011</v>
      </c>
      <c r="L128" s="19">
        <f>L67*L75</f>
        <v>3033.1227300000014</v>
      </c>
      <c r="M128" s="106">
        <f>M67*M75</f>
        <v>3336.4350030000014</v>
      </c>
    </row>
    <row r="129" spans="2:13" x14ac:dyDescent="0.3">
      <c r="B129" s="139" t="s">
        <v>142</v>
      </c>
      <c r="C129" s="38"/>
      <c r="D129" s="38"/>
      <c r="E129" s="142"/>
      <c r="F129" s="38"/>
      <c r="G129" s="142">
        <f t="shared" ref="G129:M129" si="36">SUM(G126:G128)</f>
        <v>11361</v>
      </c>
      <c r="H129" s="143">
        <f t="shared" si="36"/>
        <v>11506</v>
      </c>
      <c r="I129" s="142">
        <f t="shared" si="36"/>
        <v>11685.332849101742</v>
      </c>
      <c r="J129" s="142">
        <f t="shared" si="36"/>
        <v>13161.218633297358</v>
      </c>
      <c r="K129" s="142">
        <f t="shared" si="36"/>
        <v>14573.14052096798</v>
      </c>
      <c r="L129" s="142">
        <f t="shared" si="36"/>
        <v>16135.834599839754</v>
      </c>
      <c r="M129" s="143">
        <f t="shared" si="36"/>
        <v>17865.336089276199</v>
      </c>
    </row>
    <row r="130" spans="2:13" x14ac:dyDescent="0.3">
      <c r="B130" s="7"/>
      <c r="H130" s="23"/>
      <c r="M130" s="23"/>
    </row>
    <row r="131" spans="2:13" x14ac:dyDescent="0.3">
      <c r="B131" s="9" t="s">
        <v>143</v>
      </c>
      <c r="H131" s="23"/>
      <c r="M131" s="23"/>
    </row>
    <row r="132" spans="2:13" x14ac:dyDescent="0.3">
      <c r="B132" s="27" t="s">
        <v>141</v>
      </c>
      <c r="E132" s="31"/>
      <c r="G132" s="31">
        <v>768</v>
      </c>
      <c r="H132" s="12">
        <v>853</v>
      </c>
      <c r="I132" s="19">
        <f>I68*I75</f>
        <v>938.30000000000018</v>
      </c>
      <c r="J132" s="19">
        <f>J68*J75</f>
        <v>1041.5130000000004</v>
      </c>
      <c r="K132" s="19">
        <f>K68*K75</f>
        <v>1145.6643000000004</v>
      </c>
      <c r="L132" s="19">
        <f>L68*L75</f>
        <v>1260.2307300000007</v>
      </c>
      <c r="M132" s="106">
        <f>M68*M75</f>
        <v>1386.2538030000007</v>
      </c>
    </row>
    <row r="133" spans="2:13" x14ac:dyDescent="0.3">
      <c r="B133" s="27" t="s">
        <v>144</v>
      </c>
      <c r="E133" s="31"/>
      <c r="G133" s="31">
        <v>0</v>
      </c>
      <c r="H133" s="12">
        <v>0</v>
      </c>
      <c r="I133" s="19">
        <f>H133+I182</f>
        <v>100000</v>
      </c>
      <c r="J133" s="19">
        <f>I133+J182</f>
        <v>100000</v>
      </c>
      <c r="K133" s="19">
        <f>J133+K182</f>
        <v>100000</v>
      </c>
      <c r="L133" s="19">
        <f>K133+L182</f>
        <v>100000</v>
      </c>
      <c r="M133" s="106">
        <f>L133+M182</f>
        <v>100000</v>
      </c>
    </row>
    <row r="134" spans="2:13" x14ac:dyDescent="0.3">
      <c r="B134" s="27" t="s">
        <v>145</v>
      </c>
      <c r="E134" s="31"/>
      <c r="G134" s="31">
        <v>1745</v>
      </c>
      <c r="H134" s="12">
        <v>3502</v>
      </c>
      <c r="I134" s="19">
        <f>H134</f>
        <v>3502</v>
      </c>
      <c r="J134" s="19">
        <f>I134</f>
        <v>3502</v>
      </c>
      <c r="K134" s="19">
        <f>J134</f>
        <v>3502</v>
      </c>
      <c r="L134" s="19">
        <f>K134</f>
        <v>3502</v>
      </c>
      <c r="M134" s="106">
        <f>L134</f>
        <v>3502</v>
      </c>
    </row>
    <row r="135" spans="2:13" x14ac:dyDescent="0.3">
      <c r="B135" s="139" t="s">
        <v>146</v>
      </c>
      <c r="C135" s="38"/>
      <c r="D135" s="38"/>
      <c r="E135" s="142"/>
      <c r="F135" s="38"/>
      <c r="G135" s="142">
        <f t="shared" ref="G135:M135" si="37">SUM(G132:G134)+G129</f>
        <v>13874</v>
      </c>
      <c r="H135" s="143">
        <f t="shared" si="37"/>
        <v>15861</v>
      </c>
      <c r="I135" s="142">
        <f t="shared" si="37"/>
        <v>116125.63284910175</v>
      </c>
      <c r="J135" s="142">
        <f t="shared" si="37"/>
        <v>117704.73163329737</v>
      </c>
      <c r="K135" s="142">
        <f t="shared" si="37"/>
        <v>119220.80482096798</v>
      </c>
      <c r="L135" s="142">
        <f>SUM(L132:L134)+L129</f>
        <v>120898.06532983975</v>
      </c>
      <c r="M135" s="143">
        <f t="shared" si="37"/>
        <v>122753.5898922762</v>
      </c>
    </row>
    <row r="136" spans="2:13" x14ac:dyDescent="0.3">
      <c r="B136" s="7"/>
      <c r="H136" s="23"/>
      <c r="M136" s="23"/>
    </row>
    <row r="137" spans="2:13" x14ac:dyDescent="0.3">
      <c r="B137" s="9" t="s">
        <v>147</v>
      </c>
      <c r="H137" s="23"/>
      <c r="M137" s="23"/>
    </row>
    <row r="138" spans="2:13" x14ac:dyDescent="0.3">
      <c r="B138" s="27" t="s">
        <v>148</v>
      </c>
      <c r="E138" s="31"/>
      <c r="G138" s="31">
        <v>7177</v>
      </c>
      <c r="H138" s="106">
        <f t="shared" ref="H138:M138" si="38">G138</f>
        <v>7177</v>
      </c>
      <c r="I138" s="19">
        <f t="shared" si="38"/>
        <v>7177</v>
      </c>
      <c r="J138" s="19">
        <f t="shared" si="38"/>
        <v>7177</v>
      </c>
      <c r="K138" s="19">
        <f t="shared" si="38"/>
        <v>7177</v>
      </c>
      <c r="L138" s="19">
        <f t="shared" si="38"/>
        <v>7177</v>
      </c>
      <c r="M138" s="106">
        <f t="shared" si="38"/>
        <v>7177</v>
      </c>
    </row>
    <row r="139" spans="2:13" x14ac:dyDescent="0.3">
      <c r="B139" s="27" t="s">
        <v>149</v>
      </c>
      <c r="E139" s="31"/>
      <c r="G139" s="31">
        <v>0</v>
      </c>
      <c r="H139" s="106">
        <f t="shared" ref="H139:M139" si="39">G139+H178+H155</f>
        <v>1185</v>
      </c>
      <c r="I139" s="19">
        <f t="shared" si="39"/>
        <v>1966</v>
      </c>
      <c r="J139" s="19">
        <f t="shared" si="39"/>
        <v>2832.9100000000003</v>
      </c>
      <c r="K139" s="19">
        <f t="shared" si="39"/>
        <v>3786.5110000000004</v>
      </c>
      <c r="L139" s="19">
        <f t="shared" si="39"/>
        <v>4835.4721000000009</v>
      </c>
      <c r="M139" s="106">
        <f t="shared" si="39"/>
        <v>5989.329310000001</v>
      </c>
    </row>
    <row r="140" spans="2:13" x14ac:dyDescent="0.3">
      <c r="B140" s="27" t="s">
        <v>150</v>
      </c>
      <c r="E140" s="31"/>
      <c r="G140" s="31">
        <v>0</v>
      </c>
      <c r="H140" s="106">
        <f t="shared" ref="H140:M140" si="40">G140+H179</f>
        <v>0</v>
      </c>
      <c r="I140" s="19">
        <f t="shared" si="40"/>
        <v>0</v>
      </c>
      <c r="J140" s="19">
        <f t="shared" si="40"/>
        <v>0</v>
      </c>
      <c r="K140" s="19">
        <f t="shared" si="40"/>
        <v>0</v>
      </c>
      <c r="L140" s="19">
        <f t="shared" si="40"/>
        <v>0</v>
      </c>
      <c r="M140" s="106">
        <f t="shared" si="40"/>
        <v>0</v>
      </c>
    </row>
    <row r="141" spans="2:13" x14ac:dyDescent="0.3">
      <c r="B141" s="27" t="s">
        <v>151</v>
      </c>
      <c r="E141" s="31"/>
      <c r="G141" s="31">
        <v>15129</v>
      </c>
      <c r="H141" s="106">
        <f t="shared" ref="H141:M141" si="41">G141+H94-H180</f>
        <v>23459</v>
      </c>
      <c r="I141" s="19">
        <f t="shared" si="41"/>
        <v>35042.482910185652</v>
      </c>
      <c r="J141" s="19">
        <f t="shared" si="41"/>
        <v>45038.009198766988</v>
      </c>
      <c r="K141" s="19">
        <f t="shared" si="41"/>
        <v>56471.645640683142</v>
      </c>
      <c r="L141" s="19">
        <f t="shared" si="41"/>
        <v>68995.589779860951</v>
      </c>
      <c r="M141" s="106">
        <f t="shared" si="41"/>
        <v>83568.254798712733</v>
      </c>
    </row>
    <row r="142" spans="2:13" x14ac:dyDescent="0.3">
      <c r="B142" s="27" t="s">
        <v>152</v>
      </c>
      <c r="E142" s="31"/>
      <c r="G142" s="31">
        <v>-9</v>
      </c>
      <c r="H142" s="106">
        <f t="shared" ref="H142:M142" si="42">G142+H181+H183</f>
        <v>179</v>
      </c>
      <c r="I142" s="19">
        <f t="shared" si="42"/>
        <v>179</v>
      </c>
      <c r="J142" s="19">
        <f t="shared" si="42"/>
        <v>179</v>
      </c>
      <c r="K142" s="19">
        <f t="shared" si="42"/>
        <v>179</v>
      </c>
      <c r="L142" s="19">
        <f t="shared" si="42"/>
        <v>179</v>
      </c>
      <c r="M142" s="106">
        <f t="shared" si="42"/>
        <v>179</v>
      </c>
    </row>
    <row r="143" spans="2:13" x14ac:dyDescent="0.3">
      <c r="B143" s="139" t="s">
        <v>153</v>
      </c>
      <c r="C143" s="38"/>
      <c r="D143" s="38"/>
      <c r="E143" s="142"/>
      <c r="F143" s="38"/>
      <c r="G143" s="142">
        <f t="shared" ref="G143:M143" si="43">SUM(G138:G142)</f>
        <v>22297</v>
      </c>
      <c r="H143" s="143">
        <f t="shared" si="43"/>
        <v>32000</v>
      </c>
      <c r="I143" s="142">
        <f t="shared" si="43"/>
        <v>44364.482910185652</v>
      </c>
      <c r="J143" s="142">
        <f t="shared" si="43"/>
        <v>55226.919198766991</v>
      </c>
      <c r="K143" s="142">
        <f t="shared" si="43"/>
        <v>67614.156640683141</v>
      </c>
      <c r="L143" s="142">
        <f>SUM(L138:L142)</f>
        <v>81187.06187986095</v>
      </c>
      <c r="M143" s="143">
        <f t="shared" si="43"/>
        <v>96913.584108712734</v>
      </c>
    </row>
    <row r="144" spans="2:13" x14ac:dyDescent="0.3">
      <c r="B144" s="7"/>
      <c r="H144" s="23"/>
      <c r="M144" s="23"/>
    </row>
    <row r="145" spans="2:13" x14ac:dyDescent="0.3">
      <c r="B145" s="61" t="s">
        <v>154</v>
      </c>
      <c r="C145" s="62"/>
      <c r="D145" s="62"/>
      <c r="E145" s="157"/>
      <c r="F145" s="62"/>
      <c r="G145" s="157">
        <f t="shared" ref="G145:M145" si="44">G143+G135</f>
        <v>36171</v>
      </c>
      <c r="H145" s="158">
        <f t="shared" si="44"/>
        <v>47861</v>
      </c>
      <c r="I145" s="157">
        <f t="shared" si="44"/>
        <v>160490.11575928741</v>
      </c>
      <c r="J145" s="157">
        <f t="shared" si="44"/>
        <v>172931.65083206436</v>
      </c>
      <c r="K145" s="157">
        <f t="shared" si="44"/>
        <v>186834.96146165114</v>
      </c>
      <c r="L145" s="157">
        <f>L143+L135</f>
        <v>202085.1272097007</v>
      </c>
      <c r="M145" s="158">
        <f t="shared" si="44"/>
        <v>219667.17400098895</v>
      </c>
    </row>
    <row r="147" spans="2:13" x14ac:dyDescent="0.3">
      <c r="B147" s="1" t="s">
        <v>155</v>
      </c>
      <c r="G147" s="159">
        <f>G122-G145</f>
        <v>309</v>
      </c>
      <c r="H147" s="159">
        <f t="shared" ref="H147:M147" si="45">H122-H145</f>
        <v>309</v>
      </c>
      <c r="I147" s="159">
        <f t="shared" si="45"/>
        <v>309</v>
      </c>
      <c r="J147" s="159">
        <f t="shared" si="45"/>
        <v>308.9999999999709</v>
      </c>
      <c r="K147" s="159">
        <f t="shared" si="45"/>
        <v>308.9999999999709</v>
      </c>
      <c r="L147" s="159">
        <f>L122-L145</f>
        <v>309.0000000000291</v>
      </c>
      <c r="M147" s="159">
        <f t="shared" si="45"/>
        <v>309</v>
      </c>
    </row>
    <row r="149" spans="2:13" x14ac:dyDescent="0.3">
      <c r="B149" s="2" t="s">
        <v>156</v>
      </c>
      <c r="C149" s="3"/>
      <c r="D149" s="3"/>
      <c r="E149" s="4"/>
      <c r="F149" s="4"/>
      <c r="G149" s="4"/>
      <c r="H149" s="4"/>
      <c r="I149" s="4"/>
      <c r="J149" s="4"/>
      <c r="K149" s="4"/>
      <c r="L149" s="4"/>
      <c r="M149" s="5"/>
    </row>
    <row r="150" spans="2:13" x14ac:dyDescent="0.3">
      <c r="B150" s="7"/>
      <c r="F150" s="45" t="str">
        <f t="shared" ref="F150:M150" si="46">F$24</f>
        <v>FY 2015</v>
      </c>
      <c r="G150" s="45" t="str">
        <f t="shared" si="46"/>
        <v>FY 2016</v>
      </c>
      <c r="H150" s="46" t="str">
        <f t="shared" si="46"/>
        <v>FY 2017</v>
      </c>
      <c r="I150" s="45" t="str">
        <f t="shared" si="46"/>
        <v>FY 2018E</v>
      </c>
      <c r="J150" s="45" t="str">
        <f t="shared" si="46"/>
        <v>FY 2019E</v>
      </c>
      <c r="K150" s="45" t="str">
        <f t="shared" si="46"/>
        <v>FY 2020E</v>
      </c>
      <c r="L150" s="45" t="str">
        <f t="shared" si="46"/>
        <v>FY 2021E</v>
      </c>
      <c r="M150" s="46" t="str">
        <f t="shared" si="46"/>
        <v>FY 2022E</v>
      </c>
    </row>
    <row r="151" spans="2:13" x14ac:dyDescent="0.3">
      <c r="B151" s="131" t="s">
        <v>157</v>
      </c>
      <c r="C151" s="160"/>
      <c r="D151" s="160"/>
      <c r="E151" s="160"/>
      <c r="H151" s="161"/>
      <c r="M151" s="23"/>
    </row>
    <row r="152" spans="2:13" x14ac:dyDescent="0.3">
      <c r="B152" s="9" t="s">
        <v>104</v>
      </c>
      <c r="F152" s="104">
        <f t="shared" ref="F152:M152" si="47">F94</f>
        <v>3817</v>
      </c>
      <c r="G152" s="104">
        <f t="shared" si="47"/>
        <v>6428</v>
      </c>
      <c r="H152" s="104">
        <f t="shared" si="47"/>
        <v>8330</v>
      </c>
      <c r="I152" s="162">
        <f t="shared" si="47"/>
        <v>11583.48291018565</v>
      </c>
      <c r="J152" s="104">
        <f t="shared" si="47"/>
        <v>9995.5262885813372</v>
      </c>
      <c r="K152" s="104">
        <f t="shared" si="47"/>
        <v>11433.636441916155</v>
      </c>
      <c r="L152" s="104">
        <f t="shared" si="47"/>
        <v>12523.944139177809</v>
      </c>
      <c r="M152" s="104">
        <f t="shared" si="47"/>
        <v>14572.665018851776</v>
      </c>
    </row>
    <row r="153" spans="2:13" x14ac:dyDescent="0.3">
      <c r="B153" s="117" t="s">
        <v>96</v>
      </c>
      <c r="E153" s="138"/>
      <c r="F153" s="19">
        <f t="shared" ref="F153:M155" si="48">F83</f>
        <v>327</v>
      </c>
      <c r="G153" s="19">
        <f t="shared" si="48"/>
        <v>496</v>
      </c>
      <c r="H153" s="19">
        <f t="shared" si="48"/>
        <v>734</v>
      </c>
      <c r="I153" s="163">
        <f t="shared" si="48"/>
        <v>807.40000000000009</v>
      </c>
      <c r="J153" s="19">
        <f t="shared" si="48"/>
        <v>896.21400000000017</v>
      </c>
      <c r="K153" s="19">
        <f t="shared" si="48"/>
        <v>985.83540000000028</v>
      </c>
      <c r="L153" s="19">
        <f t="shared" si="48"/>
        <v>1084.4189400000005</v>
      </c>
      <c r="M153" s="19">
        <f t="shared" si="48"/>
        <v>1192.8608340000005</v>
      </c>
    </row>
    <row r="154" spans="2:13" x14ac:dyDescent="0.3">
      <c r="B154" s="117" t="s">
        <v>81</v>
      </c>
      <c r="E154" s="138"/>
      <c r="F154" s="19">
        <f>F62</f>
        <v>0</v>
      </c>
      <c r="G154" s="19">
        <f>G62</f>
        <v>0</v>
      </c>
      <c r="H154" s="19">
        <f>H62</f>
        <v>0</v>
      </c>
      <c r="I154" s="163">
        <f t="shared" si="48"/>
        <v>40</v>
      </c>
      <c r="J154" s="19">
        <f t="shared" si="48"/>
        <v>37</v>
      </c>
      <c r="K154" s="19">
        <f t="shared" si="48"/>
        <v>28</v>
      </c>
      <c r="L154" s="19">
        <f t="shared" si="48"/>
        <v>13</v>
      </c>
      <c r="M154" s="19">
        <f t="shared" si="48"/>
        <v>10</v>
      </c>
    </row>
    <row r="155" spans="2:13" x14ac:dyDescent="0.3">
      <c r="B155" s="117" t="s">
        <v>97</v>
      </c>
      <c r="E155" s="108"/>
      <c r="F155" s="19">
        <f>F85</f>
        <v>242</v>
      </c>
      <c r="G155" s="19">
        <f>G85</f>
        <v>516</v>
      </c>
      <c r="H155" s="19">
        <f>H85</f>
        <v>710</v>
      </c>
      <c r="I155" s="163">
        <f t="shared" si="48"/>
        <v>781.00000000000011</v>
      </c>
      <c r="J155" s="19">
        <f t="shared" si="48"/>
        <v>866.91000000000031</v>
      </c>
      <c r="K155" s="19">
        <f t="shared" si="48"/>
        <v>953.60100000000034</v>
      </c>
      <c r="L155" s="19">
        <f t="shared" si="48"/>
        <v>1048.9611000000004</v>
      </c>
      <c r="M155" s="19">
        <f t="shared" si="48"/>
        <v>1153.8572100000006</v>
      </c>
    </row>
    <row r="156" spans="2:13" x14ac:dyDescent="0.3">
      <c r="B156" s="7" t="s">
        <v>158</v>
      </c>
      <c r="F156" s="31">
        <v>73</v>
      </c>
      <c r="G156" s="31">
        <v>398</v>
      </c>
      <c r="H156" s="12">
        <v>1040</v>
      </c>
      <c r="I156" s="31">
        <v>0</v>
      </c>
      <c r="J156" s="28">
        <f t="shared" ref="J156:M157" si="49">I156</f>
        <v>0</v>
      </c>
      <c r="K156" s="28">
        <f t="shared" si="49"/>
        <v>0</v>
      </c>
      <c r="L156" s="28">
        <f t="shared" si="49"/>
        <v>0</v>
      </c>
      <c r="M156" s="116">
        <f t="shared" si="49"/>
        <v>0</v>
      </c>
    </row>
    <row r="157" spans="2:13" x14ac:dyDescent="0.3">
      <c r="B157" s="117" t="s">
        <v>159</v>
      </c>
      <c r="E157" s="138"/>
      <c r="F157" s="31">
        <v>12</v>
      </c>
      <c r="G157" s="31">
        <v>22</v>
      </c>
      <c r="H157" s="12">
        <v>26</v>
      </c>
      <c r="I157" s="31">
        <v>0</v>
      </c>
      <c r="J157" s="28">
        <f t="shared" si="49"/>
        <v>0</v>
      </c>
      <c r="K157" s="28">
        <f t="shared" si="49"/>
        <v>0</v>
      </c>
      <c r="L157" s="28">
        <f t="shared" si="49"/>
        <v>0</v>
      </c>
      <c r="M157" s="116">
        <f t="shared" si="49"/>
        <v>0</v>
      </c>
    </row>
    <row r="158" spans="2:13" x14ac:dyDescent="0.3">
      <c r="B158" s="113" t="s">
        <v>160</v>
      </c>
      <c r="E158" s="138"/>
      <c r="H158" s="23"/>
      <c r="M158" s="23"/>
    </row>
    <row r="159" spans="2:13" x14ac:dyDescent="0.3">
      <c r="B159" s="27" t="s">
        <v>125</v>
      </c>
      <c r="E159" s="108"/>
      <c r="F159" s="31">
        <v>-385</v>
      </c>
      <c r="G159" s="31">
        <v>-785</v>
      </c>
      <c r="H159" s="116">
        <f t="shared" ref="H159:M160" si="50">G110-H110</f>
        <v>-939</v>
      </c>
      <c r="I159" s="164">
        <f t="shared" si="50"/>
        <v>-336.10000000000036</v>
      </c>
      <c r="J159" s="28">
        <f t="shared" si="50"/>
        <v>-406.68100000000049</v>
      </c>
      <c r="K159" s="28">
        <f t="shared" si="50"/>
        <v>-410.3780999999999</v>
      </c>
      <c r="L159" s="28">
        <f t="shared" si="50"/>
        <v>-451.41591000000062</v>
      </c>
      <c r="M159" s="116">
        <f t="shared" si="50"/>
        <v>-496.55750100000114</v>
      </c>
    </row>
    <row r="160" spans="2:13" x14ac:dyDescent="0.3">
      <c r="B160" s="27" t="s">
        <v>126</v>
      </c>
      <c r="E160" s="114"/>
      <c r="F160" s="31">
        <v>-76</v>
      </c>
      <c r="G160" s="31">
        <v>-163</v>
      </c>
      <c r="H160" s="116">
        <f t="shared" si="50"/>
        <v>54</v>
      </c>
      <c r="I160" s="164">
        <f t="shared" si="50"/>
        <v>25.833421083806002</v>
      </c>
      <c r="J160" s="28">
        <f t="shared" si="50"/>
        <v>-54.283198471825585</v>
      </c>
      <c r="K160" s="28">
        <f t="shared" si="50"/>
        <v>-56.127340008950569</v>
      </c>
      <c r="L160" s="28">
        <f t="shared" si="50"/>
        <v>-62.518310236860657</v>
      </c>
      <c r="M160" s="116">
        <f t="shared" si="50"/>
        <v>-69.626201110262855</v>
      </c>
    </row>
    <row r="161" spans="2:13" x14ac:dyDescent="0.3">
      <c r="B161" s="27" t="s">
        <v>128</v>
      </c>
      <c r="E161" s="108"/>
      <c r="F161" s="31">
        <v>-1279</v>
      </c>
      <c r="G161" s="31">
        <v>-274</v>
      </c>
      <c r="H161" s="116">
        <f t="shared" ref="H161:M161" si="51">G113-H113</f>
        <v>780</v>
      </c>
      <c r="I161" s="164">
        <f t="shared" si="51"/>
        <v>0</v>
      </c>
      <c r="J161" s="28">
        <f t="shared" si="51"/>
        <v>0</v>
      </c>
      <c r="K161" s="28">
        <f t="shared" si="51"/>
        <v>0</v>
      </c>
      <c r="L161" s="28">
        <f t="shared" si="51"/>
        <v>0</v>
      </c>
      <c r="M161" s="116">
        <f t="shared" si="51"/>
        <v>0</v>
      </c>
    </row>
    <row r="162" spans="2:13" x14ac:dyDescent="0.3">
      <c r="B162" s="147" t="s">
        <v>135</v>
      </c>
      <c r="E162" s="138"/>
      <c r="F162" s="31">
        <v>285</v>
      </c>
      <c r="G162" s="31">
        <v>289</v>
      </c>
      <c r="H162" s="116">
        <f t="shared" ref="H162:M162" si="52">G121-H121</f>
        <v>-1172</v>
      </c>
      <c r="I162" s="164">
        <f t="shared" si="52"/>
        <v>0</v>
      </c>
      <c r="J162" s="28">
        <f t="shared" si="52"/>
        <v>0</v>
      </c>
      <c r="K162" s="28">
        <f t="shared" si="52"/>
        <v>0</v>
      </c>
      <c r="L162" s="28">
        <f t="shared" si="52"/>
        <v>0</v>
      </c>
      <c r="M162" s="116">
        <f t="shared" si="52"/>
        <v>0</v>
      </c>
    </row>
    <row r="163" spans="2:13" x14ac:dyDescent="0.3">
      <c r="B163" s="27" t="s">
        <v>139</v>
      </c>
      <c r="E163" s="108"/>
      <c r="F163" s="31">
        <v>1494</v>
      </c>
      <c r="G163" s="31">
        <v>596</v>
      </c>
      <c r="H163" s="116">
        <f t="shared" ref="H163:M163" si="53">H126-G126</f>
        <v>81</v>
      </c>
      <c r="I163" s="164">
        <f t="shared" si="53"/>
        <v>-318.00657470417082</v>
      </c>
      <c r="J163" s="28">
        <f t="shared" si="53"/>
        <v>668.22020800152859</v>
      </c>
      <c r="K163" s="28">
        <f t="shared" si="53"/>
        <v>690.92138767061988</v>
      </c>
      <c r="L163" s="28">
        <f t="shared" si="53"/>
        <v>769.59352887177283</v>
      </c>
      <c r="M163" s="116">
        <f t="shared" si="53"/>
        <v>857.09088443644396</v>
      </c>
    </row>
    <row r="164" spans="2:13" x14ac:dyDescent="0.3">
      <c r="B164" s="27" t="s">
        <v>141</v>
      </c>
      <c r="E164" s="138"/>
      <c r="F164" s="31">
        <v>566</v>
      </c>
      <c r="G164" s="31">
        <v>718</v>
      </c>
      <c r="H164" s="116">
        <f t="shared" ref="H164:M164" si="54">H128-G128+H132-G132</f>
        <v>521</v>
      </c>
      <c r="I164" s="164">
        <f t="shared" si="54"/>
        <v>290.60000000000036</v>
      </c>
      <c r="J164" s="28">
        <f t="shared" si="54"/>
        <v>351.62600000000066</v>
      </c>
      <c r="K164" s="28">
        <f t="shared" si="54"/>
        <v>354.82260000000042</v>
      </c>
      <c r="L164" s="28">
        <f t="shared" si="54"/>
        <v>390.30486000000064</v>
      </c>
      <c r="M164" s="116">
        <f t="shared" si="54"/>
        <v>429.33534600000007</v>
      </c>
    </row>
    <row r="165" spans="2:13" x14ac:dyDescent="0.3">
      <c r="B165" s="27" t="s">
        <v>161</v>
      </c>
      <c r="F165" s="31">
        <v>716</v>
      </c>
      <c r="G165" s="31">
        <v>1664</v>
      </c>
      <c r="H165" s="116">
        <f t="shared" ref="H165:M165" si="55">H127-G127+H134-G134</f>
        <v>1385</v>
      </c>
      <c r="I165" s="164">
        <f t="shared" si="55"/>
        <v>292.03942380591434</v>
      </c>
      <c r="J165" s="28">
        <f t="shared" si="55"/>
        <v>559.25257619408694</v>
      </c>
      <c r="K165" s="28">
        <f t="shared" si="55"/>
        <v>470.32920000000013</v>
      </c>
      <c r="L165" s="28">
        <f t="shared" si="55"/>
        <v>517.3621200000016</v>
      </c>
      <c r="M165" s="116">
        <f t="shared" si="55"/>
        <v>569.09833199999957</v>
      </c>
    </row>
    <row r="166" spans="2:13" x14ac:dyDescent="0.3">
      <c r="B166" s="111" t="s">
        <v>162</v>
      </c>
      <c r="C166" s="38"/>
      <c r="D166" s="38"/>
      <c r="E166" s="36"/>
      <c r="F166" s="36">
        <f t="shared" ref="F166:M166" si="56">SUM(F159:F165)+SUM(F152:F157)</f>
        <v>5792</v>
      </c>
      <c r="G166" s="36">
        <f t="shared" si="56"/>
        <v>9905</v>
      </c>
      <c r="H166" s="112">
        <f t="shared" si="56"/>
        <v>11550</v>
      </c>
      <c r="I166" s="165">
        <f t="shared" si="56"/>
        <v>13166.2491803712</v>
      </c>
      <c r="J166" s="36">
        <f t="shared" si="56"/>
        <v>12913.784874305127</v>
      </c>
      <c r="K166" s="36">
        <f t="shared" si="56"/>
        <v>14450.640589577824</v>
      </c>
      <c r="L166" s="36">
        <f t="shared" si="56"/>
        <v>15833.650467812724</v>
      </c>
      <c r="M166" s="112">
        <f t="shared" si="56"/>
        <v>18218.72392317796</v>
      </c>
    </row>
    <row r="167" spans="2:13" x14ac:dyDescent="0.3">
      <c r="B167" s="27"/>
      <c r="H167" s="23"/>
      <c r="I167" s="28"/>
      <c r="M167" s="23"/>
    </row>
    <row r="168" spans="2:13" x14ac:dyDescent="0.3">
      <c r="B168" s="131" t="s">
        <v>163</v>
      </c>
      <c r="C168" s="132"/>
      <c r="D168" s="132"/>
      <c r="E168" s="166"/>
      <c r="H168" s="167"/>
      <c r="M168" s="23"/>
    </row>
    <row r="169" spans="2:13" x14ac:dyDescent="0.3">
      <c r="B169" s="117" t="s">
        <v>164</v>
      </c>
      <c r="E169" s="168"/>
      <c r="F169" s="31">
        <v>-11719</v>
      </c>
      <c r="G169" s="31">
        <v>-22965</v>
      </c>
      <c r="H169" s="12">
        <v>-46724</v>
      </c>
      <c r="I169" s="31">
        <v>0</v>
      </c>
      <c r="J169" s="28">
        <f>I169</f>
        <v>0</v>
      </c>
      <c r="K169" s="28">
        <f>J169</f>
        <v>0</v>
      </c>
      <c r="L169" s="28">
        <f>K169</f>
        <v>0</v>
      </c>
      <c r="M169" s="116">
        <f>L169</f>
        <v>0</v>
      </c>
    </row>
    <row r="170" spans="2:13" x14ac:dyDescent="0.3">
      <c r="B170" s="117" t="s">
        <v>165</v>
      </c>
      <c r="F170" s="28">
        <f>6483+2941</f>
        <v>9424</v>
      </c>
      <c r="G170" s="28">
        <f>11804+4439</f>
        <v>16243</v>
      </c>
      <c r="H170" s="116">
        <f>19790+10888</f>
        <v>30678</v>
      </c>
      <c r="I170" s="31">
        <v>0</v>
      </c>
      <c r="J170" s="28">
        <f t="shared" ref="J170:M174" si="57">I170</f>
        <v>0</v>
      </c>
      <c r="K170" s="28">
        <f t="shared" si="57"/>
        <v>0</v>
      </c>
      <c r="L170" s="28">
        <f t="shared" si="57"/>
        <v>0</v>
      </c>
      <c r="M170" s="116">
        <f t="shared" si="57"/>
        <v>0</v>
      </c>
    </row>
    <row r="171" spans="2:13" x14ac:dyDescent="0.3">
      <c r="B171" s="117" t="s">
        <v>166</v>
      </c>
      <c r="F171" s="31">
        <v>-17</v>
      </c>
      <c r="G171" s="31">
        <v>-38</v>
      </c>
      <c r="H171" s="12">
        <v>-101</v>
      </c>
      <c r="I171" s="31">
        <v>0</v>
      </c>
      <c r="J171" s="28">
        <f t="shared" si="57"/>
        <v>0</v>
      </c>
      <c r="K171" s="28">
        <f t="shared" si="57"/>
        <v>0</v>
      </c>
      <c r="L171" s="28">
        <f t="shared" si="57"/>
        <v>0</v>
      </c>
      <c r="M171" s="116">
        <f t="shared" si="57"/>
        <v>0</v>
      </c>
    </row>
    <row r="172" spans="2:13" x14ac:dyDescent="0.3">
      <c r="B172" s="117" t="s">
        <v>167</v>
      </c>
      <c r="F172" s="31">
        <v>-735</v>
      </c>
      <c r="G172" s="31">
        <v>-1091</v>
      </c>
      <c r="H172" s="12">
        <v>-1144</v>
      </c>
      <c r="I172" s="164">
        <f>-I70*I75</f>
        <v>-1258.4000000000001</v>
      </c>
      <c r="J172" s="28">
        <f>-J70*J75</f>
        <v>-1396.8240000000003</v>
      </c>
      <c r="K172" s="28">
        <f>-K70*K75</f>
        <v>-1536.5064000000004</v>
      </c>
      <c r="L172" s="28">
        <f>-L70*L75</f>
        <v>-1690.1570400000007</v>
      </c>
      <c r="M172" s="116">
        <f>-M70*M75</f>
        <v>-1859.1727440000009</v>
      </c>
    </row>
    <row r="173" spans="2:13" x14ac:dyDescent="0.3">
      <c r="B173" s="117" t="s">
        <v>168</v>
      </c>
      <c r="F173" s="31">
        <v>-251</v>
      </c>
      <c r="G173" s="31">
        <v>-108</v>
      </c>
      <c r="H173" s="12">
        <v>-69</v>
      </c>
      <c r="I173" s="31">
        <v>0</v>
      </c>
      <c r="J173" s="28">
        <f t="shared" si="57"/>
        <v>0</v>
      </c>
      <c r="K173" s="28">
        <f t="shared" si="57"/>
        <v>0</v>
      </c>
      <c r="L173" s="28">
        <f t="shared" si="57"/>
        <v>0</v>
      </c>
      <c r="M173" s="116">
        <f t="shared" si="57"/>
        <v>0</v>
      </c>
    </row>
    <row r="174" spans="2:13" x14ac:dyDescent="0.3">
      <c r="B174" s="117" t="s">
        <v>169</v>
      </c>
      <c r="F174" s="31">
        <v>49</v>
      </c>
      <c r="G174" s="31">
        <f>-10-220</f>
        <v>-230</v>
      </c>
      <c r="H174" s="12">
        <v>-74</v>
      </c>
      <c r="I174" s="31">
        <v>0</v>
      </c>
      <c r="J174" s="28">
        <f t="shared" si="57"/>
        <v>0</v>
      </c>
      <c r="K174" s="28">
        <f t="shared" si="57"/>
        <v>0</v>
      </c>
      <c r="L174" s="28">
        <f t="shared" si="57"/>
        <v>0</v>
      </c>
      <c r="M174" s="116">
        <f t="shared" si="57"/>
        <v>0</v>
      </c>
    </row>
    <row r="175" spans="2:13" x14ac:dyDescent="0.3">
      <c r="B175" s="111" t="s">
        <v>170</v>
      </c>
      <c r="C175" s="38"/>
      <c r="D175" s="38"/>
      <c r="E175" s="36"/>
      <c r="F175" s="36">
        <f t="shared" ref="F175:M175" si="58">SUM(F169:F174)</f>
        <v>-3249</v>
      </c>
      <c r="G175" s="36">
        <f t="shared" si="58"/>
        <v>-8189</v>
      </c>
      <c r="H175" s="112">
        <f t="shared" si="58"/>
        <v>-17434</v>
      </c>
      <c r="I175" s="36">
        <f t="shared" si="58"/>
        <v>-1258.4000000000001</v>
      </c>
      <c r="J175" s="36">
        <f t="shared" si="58"/>
        <v>-1396.8240000000003</v>
      </c>
      <c r="K175" s="36">
        <f t="shared" si="58"/>
        <v>-1536.5064000000004</v>
      </c>
      <c r="L175" s="36">
        <f t="shared" si="58"/>
        <v>-1690.1570400000007</v>
      </c>
      <c r="M175" s="112">
        <f t="shared" si="58"/>
        <v>-1859.1727440000009</v>
      </c>
    </row>
    <row r="176" spans="2:13" x14ac:dyDescent="0.3">
      <c r="B176" s="117"/>
      <c r="H176" s="23"/>
      <c r="I176" s="28"/>
      <c r="M176" s="23"/>
    </row>
    <row r="177" spans="2:13" x14ac:dyDescent="0.3">
      <c r="B177" s="131" t="s">
        <v>171</v>
      </c>
      <c r="C177" s="132"/>
      <c r="D177" s="132"/>
      <c r="E177" s="132"/>
      <c r="H177" s="167"/>
      <c r="M177" s="23"/>
    </row>
    <row r="178" spans="2:13" x14ac:dyDescent="0.3">
      <c r="B178" s="7" t="s">
        <v>172</v>
      </c>
      <c r="F178" s="31">
        <v>365</v>
      </c>
      <c r="G178" s="31">
        <v>483</v>
      </c>
      <c r="H178" s="12">
        <v>475</v>
      </c>
      <c r="I178" s="31">
        <v>0</v>
      </c>
      <c r="J178" s="28">
        <f>I178</f>
        <v>0</v>
      </c>
      <c r="K178" s="28">
        <f>J178</f>
        <v>0</v>
      </c>
      <c r="L178" s="28">
        <f>K178</f>
        <v>0</v>
      </c>
      <c r="M178" s="116">
        <f>L178</f>
        <v>0</v>
      </c>
    </row>
    <row r="179" spans="2:13" x14ac:dyDescent="0.3">
      <c r="B179" s="7" t="s">
        <v>173</v>
      </c>
      <c r="F179" s="31">
        <v>0</v>
      </c>
      <c r="G179" s="31">
        <v>0</v>
      </c>
      <c r="H179" s="12">
        <v>0</v>
      </c>
      <c r="I179" s="31">
        <v>0</v>
      </c>
      <c r="J179" s="28">
        <f t="shared" ref="J179:M183" si="59">I179</f>
        <v>0</v>
      </c>
      <c r="K179" s="28">
        <f t="shared" si="59"/>
        <v>0</v>
      </c>
      <c r="L179" s="28">
        <f t="shared" si="59"/>
        <v>0</v>
      </c>
      <c r="M179" s="116">
        <f t="shared" si="59"/>
        <v>0</v>
      </c>
    </row>
    <row r="180" spans="2:13" x14ac:dyDescent="0.3">
      <c r="B180" s="7" t="s">
        <v>174</v>
      </c>
      <c r="F180" s="31">
        <v>0</v>
      </c>
      <c r="G180" s="31">
        <v>0</v>
      </c>
      <c r="H180" s="12">
        <v>0</v>
      </c>
      <c r="I180" s="31">
        <v>0</v>
      </c>
      <c r="J180" s="28">
        <f t="shared" si="59"/>
        <v>0</v>
      </c>
      <c r="K180" s="28">
        <f t="shared" si="59"/>
        <v>0</v>
      </c>
      <c r="L180" s="28">
        <f t="shared" si="59"/>
        <v>0</v>
      </c>
      <c r="M180" s="116">
        <f t="shared" si="59"/>
        <v>0</v>
      </c>
    </row>
    <row r="181" spans="2:13" x14ac:dyDescent="0.3">
      <c r="B181" s="7" t="s">
        <v>175</v>
      </c>
      <c r="F181" s="31">
        <v>377</v>
      </c>
      <c r="G181" s="31">
        <v>757</v>
      </c>
      <c r="H181" s="12">
        <v>270</v>
      </c>
      <c r="I181" s="31">
        <v>0</v>
      </c>
      <c r="J181" s="28">
        <f t="shared" si="59"/>
        <v>0</v>
      </c>
      <c r="K181" s="28">
        <f t="shared" si="59"/>
        <v>0</v>
      </c>
      <c r="L181" s="28">
        <f t="shared" si="59"/>
        <v>0</v>
      </c>
      <c r="M181" s="116">
        <f t="shared" si="59"/>
        <v>0</v>
      </c>
    </row>
    <row r="182" spans="2:13" x14ac:dyDescent="0.3">
      <c r="B182" s="7" t="s">
        <v>176</v>
      </c>
      <c r="F182" s="31">
        <v>0</v>
      </c>
      <c r="G182" s="31">
        <v>0</v>
      </c>
      <c r="H182" s="12">
        <v>0</v>
      </c>
      <c r="I182" s="28">
        <f>IF(I23=Debt_Date,Debt_Amount,0)</f>
        <v>100000</v>
      </c>
      <c r="J182" s="28">
        <f>IF(J23=Debt_Date,Debt_Amount,0)</f>
        <v>0</v>
      </c>
      <c r="K182" s="28">
        <f>IF(K23=Debt_Date,Debt_Amount,0)</f>
        <v>0</v>
      </c>
      <c r="L182" s="28">
        <f>IF(L23=Debt_Date,Debt_Amount,0)</f>
        <v>0</v>
      </c>
      <c r="M182" s="116">
        <f>IF(M23=Debt_Date,Debt_Amount,0)</f>
        <v>0</v>
      </c>
    </row>
    <row r="183" spans="2:13" x14ac:dyDescent="0.3">
      <c r="B183" s="7" t="s">
        <v>177</v>
      </c>
      <c r="F183" s="31">
        <v>-3</v>
      </c>
      <c r="G183" s="31">
        <v>-124</v>
      </c>
      <c r="H183" s="12">
        <v>-82</v>
      </c>
      <c r="I183" s="31">
        <v>0</v>
      </c>
      <c r="J183" s="28">
        <f t="shared" si="59"/>
        <v>0</v>
      </c>
      <c r="K183" s="28">
        <f t="shared" si="59"/>
        <v>0</v>
      </c>
      <c r="L183" s="28">
        <f t="shared" si="59"/>
        <v>0</v>
      </c>
      <c r="M183" s="116">
        <f t="shared" si="59"/>
        <v>0</v>
      </c>
    </row>
    <row r="184" spans="2:13" x14ac:dyDescent="0.3">
      <c r="B184" s="111" t="s">
        <v>178</v>
      </c>
      <c r="C184" s="38"/>
      <c r="D184" s="38"/>
      <c r="E184" s="36"/>
      <c r="F184" s="36">
        <f t="shared" ref="F184:M184" si="60">SUM(F178:F183)</f>
        <v>739</v>
      </c>
      <c r="G184" s="36">
        <f t="shared" si="60"/>
        <v>1116</v>
      </c>
      <c r="H184" s="112">
        <f t="shared" si="60"/>
        <v>663</v>
      </c>
      <c r="I184" s="36">
        <f t="shared" si="60"/>
        <v>100000</v>
      </c>
      <c r="J184" s="36">
        <f t="shared" si="60"/>
        <v>0</v>
      </c>
      <c r="K184" s="36">
        <f t="shared" si="60"/>
        <v>0</v>
      </c>
      <c r="L184" s="36">
        <f t="shared" si="60"/>
        <v>0</v>
      </c>
      <c r="M184" s="112">
        <f t="shared" si="60"/>
        <v>0</v>
      </c>
    </row>
    <row r="185" spans="2:13" x14ac:dyDescent="0.3">
      <c r="B185" s="7"/>
      <c r="H185" s="23"/>
      <c r="M185" s="23"/>
    </row>
    <row r="186" spans="2:13" x14ac:dyDescent="0.3">
      <c r="B186" s="9" t="s">
        <v>179</v>
      </c>
      <c r="F186" s="108">
        <f t="shared" ref="F186:M186" si="61">F184+F175+F166</f>
        <v>3282</v>
      </c>
      <c r="G186" s="108">
        <f t="shared" si="61"/>
        <v>2832</v>
      </c>
      <c r="H186" s="109">
        <f t="shared" si="61"/>
        <v>-5221</v>
      </c>
      <c r="I186" s="108">
        <f t="shared" si="61"/>
        <v>111907.84918037121</v>
      </c>
      <c r="J186" s="108">
        <f t="shared" si="61"/>
        <v>11516.960874305127</v>
      </c>
      <c r="K186" s="108">
        <f t="shared" si="61"/>
        <v>12914.134189577824</v>
      </c>
      <c r="L186" s="108">
        <f t="shared" si="61"/>
        <v>14143.493427812724</v>
      </c>
      <c r="M186" s="109">
        <f t="shared" si="61"/>
        <v>16359.551179177959</v>
      </c>
    </row>
    <row r="187" spans="2:13" x14ac:dyDescent="0.3">
      <c r="B187" s="61" t="s">
        <v>180</v>
      </c>
      <c r="C187" s="62"/>
      <c r="D187" s="62"/>
      <c r="E187" s="62"/>
      <c r="F187" s="169">
        <v>9352</v>
      </c>
      <c r="G187" s="170">
        <f>F187+G186</f>
        <v>12184</v>
      </c>
      <c r="H187" s="171">
        <f t="shared" ref="H187:M187" si="62">G108+H186</f>
        <v>6963</v>
      </c>
      <c r="I187" s="170">
        <f t="shared" si="62"/>
        <v>118870.84918037121</v>
      </c>
      <c r="J187" s="170">
        <f t="shared" si="62"/>
        <v>130387.81005467633</v>
      </c>
      <c r="K187" s="170">
        <f t="shared" si="62"/>
        <v>143301.94424425415</v>
      </c>
      <c r="L187" s="170">
        <f t="shared" si="62"/>
        <v>157445.43767206688</v>
      </c>
      <c r="M187" s="171">
        <f t="shared" si="62"/>
        <v>173804.98885124485</v>
      </c>
    </row>
  </sheetData>
  <mergeCells count="4">
    <mergeCell ref="P25:Q25"/>
    <mergeCell ref="P31:Q31"/>
    <mergeCell ref="P37:Q37"/>
    <mergeCell ref="B1:M1"/>
  </mergeCells>
  <phoneticPr fontId="31" type="noConversion"/>
  <dataValidations count="1">
    <dataValidation type="list" allowBlank="1" showInputMessage="1" showErrorMessage="1" error="Please choose 1, 2, or 3." sqref="L15" xr:uid="{D9B9AACE-3AE2-47DF-883B-CBA6C1B74354}">
      <formula1>"1,2,3"</formula1>
    </dataValidation>
  </dataValidations>
  <pageMargins left="0.7" right="0.7" top="0.75" bottom="0.75" header="0.3" footer="0.3"/>
  <pageSetup scale="64" fitToHeight="0" orientation="portrait" r:id="rId1"/>
  <headerFooter>
    <oddHeader>&amp;A</oddHeader>
    <oddFooter>Page &amp;P of &amp;N</oddFooter>
  </headerFooter>
  <ignoredErrors>
    <ignoredError sqref="I48:M51" unlocked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85FD-9BC7-4DC9-8682-DB5DA0FDA955}">
  <dimension ref="A1:D5"/>
  <sheetViews>
    <sheetView workbookViewId="0"/>
  </sheetViews>
  <sheetFormatPr defaultColWidth="8.796875" defaultRowHeight="15.6" x14ac:dyDescent="0.3"/>
  <cols>
    <col min="1" max="1" width="9.5" bestFit="1" customWidth="1"/>
    <col min="2" max="2" width="10.5" bestFit="1" customWidth="1"/>
  </cols>
  <sheetData>
    <row r="1" spans="1:4" ht="16.2" thickBot="1" x14ac:dyDescent="0.35"/>
    <row r="2" spans="1:4" x14ac:dyDescent="0.3">
      <c r="A2" s="32"/>
      <c r="B2" s="33" t="s">
        <v>47</v>
      </c>
      <c r="C2" s="34" t="s">
        <v>48</v>
      </c>
      <c r="D2" s="34" t="s">
        <v>30</v>
      </c>
    </row>
    <row r="3" spans="1:4" x14ac:dyDescent="0.3">
      <c r="A3" s="184" t="s">
        <v>1</v>
      </c>
      <c r="B3" s="183">
        <v>18164.907349618879</v>
      </c>
      <c r="C3" s="185">
        <v>0.13254899887296756</v>
      </c>
      <c r="D3" s="185">
        <v>-0.15</v>
      </c>
    </row>
    <row r="4" spans="1:4" x14ac:dyDescent="0.3">
      <c r="A4" s="184" t="s">
        <v>11</v>
      </c>
      <c r="B4" s="183">
        <v>37048.829174663886</v>
      </c>
      <c r="C4" s="185">
        <v>0.18526835812413345</v>
      </c>
      <c r="D4" s="185">
        <v>0.1</v>
      </c>
    </row>
    <row r="5" spans="1:4" ht="16.2" thickBot="1" x14ac:dyDescent="0.35">
      <c r="A5" s="35" t="s">
        <v>12</v>
      </c>
      <c r="B5" s="181">
        <v>56144.559242382908</v>
      </c>
      <c r="C5" s="182">
        <v>0.22681842390690421</v>
      </c>
      <c r="D5" s="182">
        <v>0.2</v>
      </c>
    </row>
  </sheetData>
  <phoneticPr fontId="31" type="noConversion"/>
  <pageMargins left="0.7" right="0.7" top="0.75" bottom="0.75" header="0.3" footer="0.3"/>
  <pageSetup orientation="landscape" horizontalDpi="0" verticalDpi="0"/>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EXSUM</vt:lpstr>
      <vt:lpstr>Memo</vt:lpstr>
      <vt:lpstr>FMSA</vt:lpstr>
      <vt:lpstr>Scenarios Comparison</vt:lpstr>
      <vt:lpstr>FMSA!Company_Name</vt:lpstr>
      <vt:lpstr>FMSA!Days_In_Year</vt:lpstr>
      <vt:lpstr>FMSA!Debt_Amount</vt:lpstr>
      <vt:lpstr>FMSA!Debt_Date</vt:lpstr>
      <vt:lpstr>FMSA!Enterprise_Value</vt:lpstr>
      <vt:lpstr>FMSA!Equity_Value</vt:lpstr>
      <vt:lpstr>FMSA!Hist_Year</vt:lpstr>
      <vt:lpstr>EXSUM!Print_Area</vt:lpstr>
      <vt:lpstr>FMSA!Print_Area</vt:lpstr>
      <vt:lpstr>'Scenarios Comparison'!Print_Area</vt:lpstr>
      <vt:lpstr>FMSA!Share_Price</vt:lpstr>
      <vt:lpstr>FMSA!Tax_Rate</vt:lpstr>
      <vt:lpstr>FMSA!Units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Nugent</dc:creator>
  <cp:keywords/>
  <dc:description/>
  <cp:lastModifiedBy>ryans</cp:lastModifiedBy>
  <cp:revision/>
  <cp:lastPrinted>2020-04-04T00:27:26Z</cp:lastPrinted>
  <dcterms:created xsi:type="dcterms:W3CDTF">2019-10-12T15:38:14Z</dcterms:created>
  <dcterms:modified xsi:type="dcterms:W3CDTF">2021-07-12T11:54:09Z</dcterms:modified>
  <cp:category/>
  <cp:contentStatus/>
</cp:coreProperties>
</file>